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63"/>
  </bookViews>
  <sheets>
    <sheet name="particle size vs Ea" sheetId="26" r:id="rId1"/>
    <sheet name="example" sheetId="2" r:id="rId2"/>
    <sheet name="4% Fe3O4 SiO2 (1g)" sheetId="32" r:id="rId3"/>
    <sheet name="8% Fe3O4 SiO2 (0.5g)" sheetId="30" r:id="rId4"/>
    <sheet name="14% Fe3O4 SiO2 (0.5g)" sheetId="29" r:id="rId5"/>
    <sheet name="28% Fe3O4 SiO2 (0.23g)" sheetId="18" r:id="rId6"/>
    <sheet name="36% Fe3O4 SiO2 (0.14g)" sheetId="19" r:id="rId7"/>
    <sheet name="56% Fe3O4 SiO2 (0.1g)" sheetId="20" r:id="rId8"/>
    <sheet name="63% Fe3O4 SiO2 (0.1g)" sheetId="31" r:id="rId9"/>
    <sheet name="Fe2O3red280C H2" sheetId="21" r:id="rId10"/>
    <sheet name="Fe2O3@500Cred350CH2" sheetId="24" r:id="rId11"/>
    <sheet name="Fe2O3@800Cred350CH2" sheetId="25" r:id="rId12"/>
    <sheet name="Fe3O4 390C N2" sheetId="23" r:id="rId13"/>
    <sheet name="Fe3O4 450C N2" sheetId="28" r:id="rId14"/>
    <sheet name="Fe3O4 600C N2" sheetId="22" r:id="rId15"/>
    <sheet name="Fe3O4 500C N2 (2hrs)" sheetId="27" r:id="rId16"/>
  </sheets>
  <calcPr calcId="125725"/>
</workbook>
</file>

<file path=xl/calcChain.xml><?xml version="1.0" encoding="utf-8"?>
<calcChain xmlns="http://schemas.openxmlformats.org/spreadsheetml/2006/main">
  <c r="E15" i="26"/>
  <c r="G15"/>
  <c r="F15"/>
  <c r="F10" i="32"/>
  <c r="F11"/>
  <c r="F12"/>
  <c r="G12" s="1"/>
  <c r="H12" s="1"/>
  <c r="I12" s="1"/>
  <c r="F13"/>
  <c r="G13" s="1"/>
  <c r="H13" s="1"/>
  <c r="I13" s="1"/>
  <c r="F14"/>
  <c r="F15"/>
  <c r="G15" s="1"/>
  <c r="H15" s="1"/>
  <c r="I15" s="1"/>
  <c r="F16"/>
  <c r="F17"/>
  <c r="I28"/>
  <c r="I29" s="1"/>
  <c r="I23"/>
  <c r="I24" s="1"/>
  <c r="U17"/>
  <c r="U18" s="1"/>
  <c r="G17"/>
  <c r="H17" s="1"/>
  <c r="I17" s="1"/>
  <c r="B17"/>
  <c r="C17" s="1"/>
  <c r="G16"/>
  <c r="H16" s="1"/>
  <c r="I16" s="1"/>
  <c r="B16"/>
  <c r="C16" s="1"/>
  <c r="C15"/>
  <c r="B15"/>
  <c r="G14"/>
  <c r="H14" s="1"/>
  <c r="I14" s="1"/>
  <c r="B14"/>
  <c r="C14" s="1"/>
  <c r="B13"/>
  <c r="C13" s="1"/>
  <c r="U12"/>
  <c r="U13" s="1"/>
  <c r="B12"/>
  <c r="C12" s="1"/>
  <c r="G11"/>
  <c r="H11" s="1"/>
  <c r="I11" s="1"/>
  <c r="B11"/>
  <c r="C11" s="1"/>
  <c r="G10"/>
  <c r="H10" s="1"/>
  <c r="I10" s="1"/>
  <c r="C10"/>
  <c r="B10"/>
  <c r="F9"/>
  <c r="G9" s="1"/>
  <c r="H9" s="1"/>
  <c r="I9" s="1"/>
  <c r="B9"/>
  <c r="C9" s="1"/>
  <c r="U7"/>
  <c r="U6"/>
  <c r="C5"/>
  <c r="F5" s="1"/>
  <c r="U16" i="20" l="1"/>
  <c r="U17" s="1"/>
  <c r="D23" i="26"/>
  <c r="D22"/>
  <c r="U16" i="27"/>
  <c r="U17" s="1"/>
  <c r="U16" i="22"/>
  <c r="U17" s="1"/>
  <c r="U16" i="28"/>
  <c r="U17" s="1"/>
  <c r="U16" i="23"/>
  <c r="U17" s="1"/>
  <c r="U21" i="25"/>
  <c r="U22" s="1"/>
  <c r="Y26" i="24"/>
  <c r="Y27" s="1"/>
  <c r="U31"/>
  <c r="U32" s="1"/>
  <c r="U26"/>
  <c r="U27" s="1"/>
  <c r="U16" i="21"/>
  <c r="U17" s="1"/>
  <c r="U17" i="30"/>
  <c r="U18" s="1"/>
  <c r="U16" i="31"/>
  <c r="U17" s="1"/>
  <c r="I28"/>
  <c r="I29" s="1"/>
  <c r="I23"/>
  <c r="I24" s="1"/>
  <c r="F17"/>
  <c r="G17" s="1"/>
  <c r="H17" s="1"/>
  <c r="I17" s="1"/>
  <c r="B17"/>
  <c r="C17" s="1"/>
  <c r="F16"/>
  <c r="G16" s="1"/>
  <c r="H16" s="1"/>
  <c r="I16" s="1"/>
  <c r="B16"/>
  <c r="C16" s="1"/>
  <c r="F15"/>
  <c r="G15" s="1"/>
  <c r="H15" s="1"/>
  <c r="I15" s="1"/>
  <c r="B15"/>
  <c r="C15" s="1"/>
  <c r="F14"/>
  <c r="G14" s="1"/>
  <c r="H14" s="1"/>
  <c r="I14" s="1"/>
  <c r="C14"/>
  <c r="B14"/>
  <c r="F13"/>
  <c r="G13" s="1"/>
  <c r="H13" s="1"/>
  <c r="I13" s="1"/>
  <c r="B13"/>
  <c r="C13" s="1"/>
  <c r="F12"/>
  <c r="G12" s="1"/>
  <c r="H12" s="1"/>
  <c r="I12" s="1"/>
  <c r="C12"/>
  <c r="B12"/>
  <c r="U11"/>
  <c r="U12" s="1"/>
  <c r="F11"/>
  <c r="G11" s="1"/>
  <c r="H11" s="1"/>
  <c r="I11" s="1"/>
  <c r="B11"/>
  <c r="C11" s="1"/>
  <c r="H10"/>
  <c r="I10" s="1"/>
  <c r="G10"/>
  <c r="F10"/>
  <c r="B10"/>
  <c r="C10" s="1"/>
  <c r="F9"/>
  <c r="G9" s="1"/>
  <c r="H9" s="1"/>
  <c r="I9" s="1"/>
  <c r="C9"/>
  <c r="B9"/>
  <c r="U6"/>
  <c r="U7" s="1"/>
  <c r="C5"/>
  <c r="F5" s="1"/>
  <c r="U17" i="29"/>
  <c r="U18" s="1"/>
  <c r="U16" i="19"/>
  <c r="U17" s="1"/>
  <c r="I28" i="30"/>
  <c r="I29" s="1"/>
  <c r="I24"/>
  <c r="I23"/>
  <c r="G17"/>
  <c r="H17" s="1"/>
  <c r="I17" s="1"/>
  <c r="F17"/>
  <c r="B17"/>
  <c r="C17" s="1"/>
  <c r="F16"/>
  <c r="G16" s="1"/>
  <c r="H16" s="1"/>
  <c r="I16" s="1"/>
  <c r="C16"/>
  <c r="B16"/>
  <c r="F15"/>
  <c r="G15" s="1"/>
  <c r="H15" s="1"/>
  <c r="I15" s="1"/>
  <c r="B15"/>
  <c r="C15" s="1"/>
  <c r="F14"/>
  <c r="G14" s="1"/>
  <c r="H14" s="1"/>
  <c r="I14" s="1"/>
  <c r="C14"/>
  <c r="B14"/>
  <c r="F13"/>
  <c r="G13" s="1"/>
  <c r="H13" s="1"/>
  <c r="I13" s="1"/>
  <c r="C13"/>
  <c r="B13"/>
  <c r="U12"/>
  <c r="U13" s="1"/>
  <c r="G12"/>
  <c r="H12" s="1"/>
  <c r="I12" s="1"/>
  <c r="F12"/>
  <c r="B12"/>
  <c r="C12" s="1"/>
  <c r="F11"/>
  <c r="G11" s="1"/>
  <c r="H11" s="1"/>
  <c r="I11" s="1"/>
  <c r="C11"/>
  <c r="B11"/>
  <c r="F10"/>
  <c r="G10" s="1"/>
  <c r="H10" s="1"/>
  <c r="I10" s="1"/>
  <c r="B10"/>
  <c r="C10" s="1"/>
  <c r="F9"/>
  <c r="G9" s="1"/>
  <c r="H9" s="1"/>
  <c r="I9" s="1"/>
  <c r="C9"/>
  <c r="B9"/>
  <c r="U6"/>
  <c r="U7" s="1"/>
  <c r="F5"/>
  <c r="C5"/>
  <c r="I28" i="29" l="1"/>
  <c r="I29" s="1"/>
  <c r="I23"/>
  <c r="I24" s="1"/>
  <c r="F17"/>
  <c r="G17" s="1"/>
  <c r="H17" s="1"/>
  <c r="I17" s="1"/>
  <c r="B17"/>
  <c r="C17" s="1"/>
  <c r="F16"/>
  <c r="G16" s="1"/>
  <c r="H16" s="1"/>
  <c r="I16" s="1"/>
  <c r="B16"/>
  <c r="C16" s="1"/>
  <c r="F15"/>
  <c r="G15" s="1"/>
  <c r="H15" s="1"/>
  <c r="I15" s="1"/>
  <c r="B15"/>
  <c r="C15" s="1"/>
  <c r="F14"/>
  <c r="G14" s="1"/>
  <c r="H14" s="1"/>
  <c r="I14" s="1"/>
  <c r="B14"/>
  <c r="C14" s="1"/>
  <c r="F13"/>
  <c r="G13" s="1"/>
  <c r="H13" s="1"/>
  <c r="I13" s="1"/>
  <c r="C13"/>
  <c r="B13"/>
  <c r="U12"/>
  <c r="U13" s="1"/>
  <c r="F12"/>
  <c r="G12" s="1"/>
  <c r="H12" s="1"/>
  <c r="I12" s="1"/>
  <c r="B12"/>
  <c r="C12" s="1"/>
  <c r="F11"/>
  <c r="G11" s="1"/>
  <c r="H11" s="1"/>
  <c r="I11" s="1"/>
  <c r="B11"/>
  <c r="C11" s="1"/>
  <c r="F10"/>
  <c r="G10" s="1"/>
  <c r="H10" s="1"/>
  <c r="I10" s="1"/>
  <c r="C10"/>
  <c r="B10"/>
  <c r="F9"/>
  <c r="G9" s="1"/>
  <c r="H9" s="1"/>
  <c r="I9" s="1"/>
  <c r="B9"/>
  <c r="C9" s="1"/>
  <c r="U6"/>
  <c r="U7" s="1"/>
  <c r="F5"/>
  <c r="C5"/>
  <c r="F10" i="28"/>
  <c r="F11"/>
  <c r="F12"/>
  <c r="G12" s="1"/>
  <c r="H12" s="1"/>
  <c r="I12" s="1"/>
  <c r="F13"/>
  <c r="F14"/>
  <c r="G14" s="1"/>
  <c r="H14" s="1"/>
  <c r="I14" s="1"/>
  <c r="F15"/>
  <c r="G15" s="1"/>
  <c r="H15" s="1"/>
  <c r="I15" s="1"/>
  <c r="F16"/>
  <c r="G16" s="1"/>
  <c r="H16" s="1"/>
  <c r="I16" s="1"/>
  <c r="F17"/>
  <c r="I28"/>
  <c r="I29" s="1"/>
  <c r="I23"/>
  <c r="I24" s="1"/>
  <c r="G17"/>
  <c r="H17" s="1"/>
  <c r="I17" s="1"/>
  <c r="B17"/>
  <c r="C17" s="1"/>
  <c r="B16"/>
  <c r="C16" s="1"/>
  <c r="B15"/>
  <c r="C15" s="1"/>
  <c r="B14"/>
  <c r="C14" s="1"/>
  <c r="G13"/>
  <c r="H13" s="1"/>
  <c r="I13" s="1"/>
  <c r="B13"/>
  <c r="C13" s="1"/>
  <c r="B12"/>
  <c r="C12" s="1"/>
  <c r="U11"/>
  <c r="U12" s="1"/>
  <c r="G11"/>
  <c r="H11" s="1"/>
  <c r="I11" s="1"/>
  <c r="B11"/>
  <c r="C11" s="1"/>
  <c r="G10"/>
  <c r="H10" s="1"/>
  <c r="I10" s="1"/>
  <c r="B10"/>
  <c r="C10" s="1"/>
  <c r="F9"/>
  <c r="G9" s="1"/>
  <c r="H9" s="1"/>
  <c r="I9" s="1"/>
  <c r="B9"/>
  <c r="C9" s="1"/>
  <c r="U6"/>
  <c r="U7" s="1"/>
  <c r="C5"/>
  <c r="F5" s="1"/>
  <c r="U21" i="24"/>
  <c r="U22" s="1"/>
  <c r="U16"/>
  <c r="U17" s="1"/>
  <c r="F16" i="27"/>
  <c r="G16" s="1"/>
  <c r="H16" s="1"/>
  <c r="I16" s="1"/>
  <c r="F17"/>
  <c r="G17" s="1"/>
  <c r="H17" s="1"/>
  <c r="I17" s="1"/>
  <c r="F14"/>
  <c r="F15"/>
  <c r="G15" s="1"/>
  <c r="H15" s="1"/>
  <c r="I15" s="1"/>
  <c r="F10"/>
  <c r="F11"/>
  <c r="G11" s="1"/>
  <c r="H11" s="1"/>
  <c r="I11" s="1"/>
  <c r="F12"/>
  <c r="G12" s="1"/>
  <c r="H12" s="1"/>
  <c r="I12" s="1"/>
  <c r="F13"/>
  <c r="G13" s="1"/>
  <c r="H13" s="1"/>
  <c r="I13" s="1"/>
  <c r="I28"/>
  <c r="I29" s="1"/>
  <c r="I23"/>
  <c r="I24" s="1"/>
  <c r="B17"/>
  <c r="C17" s="1"/>
  <c r="C16"/>
  <c r="B16"/>
  <c r="B15"/>
  <c r="C15" s="1"/>
  <c r="G14"/>
  <c r="H14" s="1"/>
  <c r="I14" s="1"/>
  <c r="B14"/>
  <c r="C14" s="1"/>
  <c r="B13"/>
  <c r="C13" s="1"/>
  <c r="B12"/>
  <c r="C12" s="1"/>
  <c r="U11"/>
  <c r="U12" s="1"/>
  <c r="B11"/>
  <c r="C11" s="1"/>
  <c r="G10"/>
  <c r="H10" s="1"/>
  <c r="I10" s="1"/>
  <c r="B10"/>
  <c r="C10" s="1"/>
  <c r="F9"/>
  <c r="G9" s="1"/>
  <c r="H9" s="1"/>
  <c r="I9" s="1"/>
  <c r="B9"/>
  <c r="C9" s="1"/>
  <c r="U6"/>
  <c r="U7" s="1"/>
  <c r="F5"/>
  <c r="C5"/>
  <c r="F10" i="25" l="1"/>
  <c r="F11"/>
  <c r="F12"/>
  <c r="F13"/>
  <c r="F14"/>
  <c r="F15"/>
  <c r="G15" s="1"/>
  <c r="H15" s="1"/>
  <c r="I15" s="1"/>
  <c r="F16"/>
  <c r="F17"/>
  <c r="F18"/>
  <c r="F9"/>
  <c r="U6" i="21"/>
  <c r="U7" s="1"/>
  <c r="U11" i="24"/>
  <c r="U12" s="1"/>
  <c r="U16" i="25"/>
  <c r="U17" s="1"/>
  <c r="U11"/>
  <c r="U12" s="1"/>
  <c r="U12" i="23"/>
  <c r="U11"/>
  <c r="U11" i="22"/>
  <c r="U12" s="1"/>
  <c r="U11" i="20"/>
  <c r="U12" s="1"/>
  <c r="U11" i="19"/>
  <c r="U12" s="1"/>
  <c r="U12" i="18"/>
  <c r="U13" s="1"/>
  <c r="G11" i="25"/>
  <c r="H11" s="1"/>
  <c r="I11" s="1"/>
  <c r="G13"/>
  <c r="H13" s="1"/>
  <c r="I13" s="1"/>
  <c r="G14"/>
  <c r="H14" s="1"/>
  <c r="I14" s="1"/>
  <c r="G16"/>
  <c r="H16" s="1"/>
  <c r="I16" s="1"/>
  <c r="G17"/>
  <c r="H17" s="1"/>
  <c r="I17" s="1"/>
  <c r="G18"/>
  <c r="H18" s="1"/>
  <c r="I18" s="1"/>
  <c r="B18"/>
  <c r="C18" s="1"/>
  <c r="I28"/>
  <c r="I29" s="1"/>
  <c r="I23"/>
  <c r="I24" s="1"/>
  <c r="B17"/>
  <c r="C17" s="1"/>
  <c r="B16"/>
  <c r="C16" s="1"/>
  <c r="B15"/>
  <c r="C15" s="1"/>
  <c r="B14"/>
  <c r="C14" s="1"/>
  <c r="B13"/>
  <c r="C13" s="1"/>
  <c r="G12"/>
  <c r="H12" s="1"/>
  <c r="I12" s="1"/>
  <c r="B12"/>
  <c r="C12" s="1"/>
  <c r="B11"/>
  <c r="C11" s="1"/>
  <c r="G10"/>
  <c r="H10" s="1"/>
  <c r="I10" s="1"/>
  <c r="B10"/>
  <c r="C10" s="1"/>
  <c r="G9"/>
  <c r="H9" s="1"/>
  <c r="I9" s="1"/>
  <c r="B9"/>
  <c r="C9" s="1"/>
  <c r="U6"/>
  <c r="U7" s="1"/>
  <c r="C5"/>
  <c r="F5" s="1"/>
  <c r="F10" i="24"/>
  <c r="F11"/>
  <c r="G11" s="1"/>
  <c r="H11" s="1"/>
  <c r="I11" s="1"/>
  <c r="F12"/>
  <c r="F13"/>
  <c r="G13" s="1"/>
  <c r="H13" s="1"/>
  <c r="I13" s="1"/>
  <c r="F14"/>
  <c r="F15"/>
  <c r="F16"/>
  <c r="G16" s="1"/>
  <c r="H16" s="1"/>
  <c r="I16" s="1"/>
  <c r="F17"/>
  <c r="I28"/>
  <c r="I29" s="1"/>
  <c r="I23"/>
  <c r="I24" s="1"/>
  <c r="G17"/>
  <c r="H17" s="1"/>
  <c r="I17" s="1"/>
  <c r="B17"/>
  <c r="C17" s="1"/>
  <c r="B16"/>
  <c r="C16" s="1"/>
  <c r="G15"/>
  <c r="H15" s="1"/>
  <c r="I15" s="1"/>
  <c r="C15"/>
  <c r="B15"/>
  <c r="G14"/>
  <c r="H14" s="1"/>
  <c r="I14" s="1"/>
  <c r="C14"/>
  <c r="B14"/>
  <c r="B13"/>
  <c r="C13" s="1"/>
  <c r="G12"/>
  <c r="H12" s="1"/>
  <c r="I12" s="1"/>
  <c r="B12"/>
  <c r="C12" s="1"/>
  <c r="B11"/>
  <c r="C11" s="1"/>
  <c r="G10"/>
  <c r="H10" s="1"/>
  <c r="I10" s="1"/>
  <c r="B10"/>
  <c r="C10" s="1"/>
  <c r="F9"/>
  <c r="G9" s="1"/>
  <c r="H9" s="1"/>
  <c r="I9" s="1"/>
  <c r="B9"/>
  <c r="C9" s="1"/>
  <c r="U6"/>
  <c r="U7" s="1"/>
  <c r="F5"/>
  <c r="C5"/>
  <c r="F10" i="23"/>
  <c r="G10" s="1"/>
  <c r="H10" s="1"/>
  <c r="I10" s="1"/>
  <c r="F11"/>
  <c r="F12"/>
  <c r="F13"/>
  <c r="F14"/>
  <c r="F15"/>
  <c r="F16"/>
  <c r="G16" s="1"/>
  <c r="H16" s="1"/>
  <c r="I16" s="1"/>
  <c r="F17"/>
  <c r="I28"/>
  <c r="I29" s="1"/>
  <c r="I23"/>
  <c r="I24" s="1"/>
  <c r="G17"/>
  <c r="H17" s="1"/>
  <c r="I17" s="1"/>
  <c r="B17"/>
  <c r="C17" s="1"/>
  <c r="B16"/>
  <c r="C16" s="1"/>
  <c r="G15"/>
  <c r="H15" s="1"/>
  <c r="I15" s="1"/>
  <c r="B15"/>
  <c r="C15" s="1"/>
  <c r="G14"/>
  <c r="H14" s="1"/>
  <c r="I14" s="1"/>
  <c r="B14"/>
  <c r="C14" s="1"/>
  <c r="G13"/>
  <c r="H13" s="1"/>
  <c r="I13" s="1"/>
  <c r="B13"/>
  <c r="C13" s="1"/>
  <c r="G12"/>
  <c r="H12" s="1"/>
  <c r="I12" s="1"/>
  <c r="B12"/>
  <c r="C12" s="1"/>
  <c r="G11"/>
  <c r="H11" s="1"/>
  <c r="I11" s="1"/>
  <c r="B11"/>
  <c r="C11" s="1"/>
  <c r="B10"/>
  <c r="C10" s="1"/>
  <c r="F9"/>
  <c r="G9" s="1"/>
  <c r="H9" s="1"/>
  <c r="I9" s="1"/>
  <c r="B9"/>
  <c r="C9" s="1"/>
  <c r="U6"/>
  <c r="U7" s="1"/>
  <c r="C5"/>
  <c r="F5" s="1"/>
  <c r="F10" i="22"/>
  <c r="F11"/>
  <c r="G11" s="1"/>
  <c r="H11" s="1"/>
  <c r="I11" s="1"/>
  <c r="F12"/>
  <c r="F13"/>
  <c r="F14"/>
  <c r="G14" s="1"/>
  <c r="H14" s="1"/>
  <c r="I14" s="1"/>
  <c r="F15"/>
  <c r="F16"/>
  <c r="G16" s="1"/>
  <c r="H16" s="1"/>
  <c r="I16" s="1"/>
  <c r="F17"/>
  <c r="F9"/>
  <c r="G10"/>
  <c r="H10" s="1"/>
  <c r="I10" s="1"/>
  <c r="G12"/>
  <c r="H12" s="1"/>
  <c r="I12" s="1"/>
  <c r="G13"/>
  <c r="H13" s="1"/>
  <c r="I13" s="1"/>
  <c r="G15"/>
  <c r="H15" s="1"/>
  <c r="I15" s="1"/>
  <c r="G17"/>
  <c r="H17" s="1"/>
  <c r="I17" s="1"/>
  <c r="G9"/>
  <c r="H9" s="1"/>
  <c r="I9" s="1"/>
  <c r="I28"/>
  <c r="I29" s="1"/>
  <c r="I23"/>
  <c r="I24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U6"/>
  <c r="U7" s="1"/>
  <c r="C5"/>
  <c r="F5" s="1"/>
  <c r="F10" i="21"/>
  <c r="F11"/>
  <c r="G11" s="1"/>
  <c r="H11" s="1"/>
  <c r="I11" s="1"/>
  <c r="F12"/>
  <c r="F13"/>
  <c r="G13" s="1"/>
  <c r="H13" s="1"/>
  <c r="I13" s="1"/>
  <c r="F14"/>
  <c r="F15"/>
  <c r="G15" s="1"/>
  <c r="H15" s="1"/>
  <c r="I15" s="1"/>
  <c r="F16"/>
  <c r="F17"/>
  <c r="G17" s="1"/>
  <c r="H17" s="1"/>
  <c r="I17" s="1"/>
  <c r="F9"/>
  <c r="I28"/>
  <c r="I29" s="1"/>
  <c r="I23"/>
  <c r="I24" s="1"/>
  <c r="B17"/>
  <c r="C17" s="1"/>
  <c r="G16"/>
  <c r="H16" s="1"/>
  <c r="I16" s="1"/>
  <c r="B16"/>
  <c r="C16" s="1"/>
  <c r="B15"/>
  <c r="C15" s="1"/>
  <c r="G14"/>
  <c r="H14" s="1"/>
  <c r="I14" s="1"/>
  <c r="B14"/>
  <c r="C14" s="1"/>
  <c r="B13"/>
  <c r="C13" s="1"/>
  <c r="G12"/>
  <c r="H12" s="1"/>
  <c r="I12" s="1"/>
  <c r="B12"/>
  <c r="C12" s="1"/>
  <c r="B11"/>
  <c r="C11" s="1"/>
  <c r="G10"/>
  <c r="H10" s="1"/>
  <c r="I10" s="1"/>
  <c r="B10"/>
  <c r="C10" s="1"/>
  <c r="G9"/>
  <c r="H9" s="1"/>
  <c r="I9" s="1"/>
  <c r="B9"/>
  <c r="C9" s="1"/>
  <c r="U11"/>
  <c r="U12" s="1"/>
  <c r="C5"/>
  <c r="F5" s="1"/>
  <c r="F10" i="20"/>
  <c r="F11"/>
  <c r="F12"/>
  <c r="F13"/>
  <c r="F14"/>
  <c r="F15"/>
  <c r="F16"/>
  <c r="F17"/>
  <c r="I28"/>
  <c r="I29" s="1"/>
  <c r="I23"/>
  <c r="I24" s="1"/>
  <c r="G17"/>
  <c r="H17" s="1"/>
  <c r="I17" s="1"/>
  <c r="B17"/>
  <c r="C17" s="1"/>
  <c r="G16"/>
  <c r="H16" s="1"/>
  <c r="I16" s="1"/>
  <c r="B16"/>
  <c r="C16" s="1"/>
  <c r="G15"/>
  <c r="H15" s="1"/>
  <c r="I15" s="1"/>
  <c r="B15"/>
  <c r="C15" s="1"/>
  <c r="G14"/>
  <c r="H14" s="1"/>
  <c r="I14" s="1"/>
  <c r="B14"/>
  <c r="C14" s="1"/>
  <c r="G13"/>
  <c r="H13" s="1"/>
  <c r="I13" s="1"/>
  <c r="B13"/>
  <c r="C13" s="1"/>
  <c r="G12"/>
  <c r="H12" s="1"/>
  <c r="I12" s="1"/>
  <c r="B12"/>
  <c r="C12" s="1"/>
  <c r="G11"/>
  <c r="H11" s="1"/>
  <c r="I11" s="1"/>
  <c r="B11"/>
  <c r="C11" s="1"/>
  <c r="G10"/>
  <c r="H10" s="1"/>
  <c r="I10" s="1"/>
  <c r="B10"/>
  <c r="C10" s="1"/>
  <c r="F9"/>
  <c r="G9" s="1"/>
  <c r="H9" s="1"/>
  <c r="I9" s="1"/>
  <c r="B9"/>
  <c r="C9" s="1"/>
  <c r="U6"/>
  <c r="U7" s="1"/>
  <c r="C5"/>
  <c r="F5" s="1"/>
  <c r="F10" i="19"/>
  <c r="G10" s="1"/>
  <c r="H10" s="1"/>
  <c r="I10" s="1"/>
  <c r="F11"/>
  <c r="G11" s="1"/>
  <c r="H11" s="1"/>
  <c r="I11" s="1"/>
  <c r="F12"/>
  <c r="F13"/>
  <c r="F14"/>
  <c r="F15"/>
  <c r="F16"/>
  <c r="G16" s="1"/>
  <c r="H16" s="1"/>
  <c r="I16" s="1"/>
  <c r="F17"/>
  <c r="F9"/>
  <c r="I28"/>
  <c r="I29" s="1"/>
  <c r="I23"/>
  <c r="I24" s="1"/>
  <c r="G17"/>
  <c r="H17" s="1"/>
  <c r="I17" s="1"/>
  <c r="B17"/>
  <c r="C17" s="1"/>
  <c r="B16"/>
  <c r="C16" s="1"/>
  <c r="G15"/>
  <c r="H15" s="1"/>
  <c r="I15" s="1"/>
  <c r="B15"/>
  <c r="C15" s="1"/>
  <c r="G14"/>
  <c r="H14" s="1"/>
  <c r="I14" s="1"/>
  <c r="B14"/>
  <c r="C14" s="1"/>
  <c r="G13"/>
  <c r="H13" s="1"/>
  <c r="I13" s="1"/>
  <c r="B13"/>
  <c r="C13" s="1"/>
  <c r="G12"/>
  <c r="H12" s="1"/>
  <c r="I12" s="1"/>
  <c r="B12"/>
  <c r="C12" s="1"/>
  <c r="B11"/>
  <c r="C11" s="1"/>
  <c r="B10"/>
  <c r="C10" s="1"/>
  <c r="G9"/>
  <c r="H9" s="1"/>
  <c r="I9" s="1"/>
  <c r="B9"/>
  <c r="C9" s="1"/>
  <c r="U6"/>
  <c r="U7" s="1"/>
  <c r="C5"/>
  <c r="F5" s="1"/>
  <c r="F11" i="18"/>
  <c r="F12"/>
  <c r="F13"/>
  <c r="F14"/>
  <c r="F15"/>
  <c r="F16"/>
  <c r="F17"/>
  <c r="F10"/>
  <c r="U6" l="1"/>
  <c r="U7" s="1"/>
  <c r="F9" l="1"/>
  <c r="G9" s="1"/>
  <c r="H9" s="1"/>
  <c r="I9" s="1"/>
  <c r="G11"/>
  <c r="H11" s="1"/>
  <c r="I11" s="1"/>
  <c r="B11"/>
  <c r="C11" s="1"/>
  <c r="I28"/>
  <c r="I29" s="1"/>
  <c r="I23"/>
  <c r="I24" s="1"/>
  <c r="G17"/>
  <c r="H17" s="1"/>
  <c r="I17" s="1"/>
  <c r="B17"/>
  <c r="C17" s="1"/>
  <c r="G16"/>
  <c r="H16" s="1"/>
  <c r="I16" s="1"/>
  <c r="B16"/>
  <c r="C16" s="1"/>
  <c r="G15"/>
  <c r="H15" s="1"/>
  <c r="I15" s="1"/>
  <c r="B15"/>
  <c r="C15" s="1"/>
  <c r="G14"/>
  <c r="H14" s="1"/>
  <c r="I14" s="1"/>
  <c r="B14"/>
  <c r="C14" s="1"/>
  <c r="G13"/>
  <c r="H13" s="1"/>
  <c r="I13" s="1"/>
  <c r="B13"/>
  <c r="C13" s="1"/>
  <c r="G12"/>
  <c r="H12" s="1"/>
  <c r="I12" s="1"/>
  <c r="B12"/>
  <c r="C12" s="1"/>
  <c r="G10"/>
  <c r="H10" s="1"/>
  <c r="I10" s="1"/>
  <c r="B10"/>
  <c r="C10" s="1"/>
  <c r="B9"/>
  <c r="C9" s="1"/>
  <c r="C5"/>
  <c r="F5" s="1"/>
  <c r="F20" i="2" l="1"/>
  <c r="F19"/>
  <c r="G22"/>
  <c r="B5"/>
  <c r="C5"/>
  <c r="D5"/>
  <c r="E5"/>
</calcChain>
</file>

<file path=xl/sharedStrings.xml><?xml version="1.0" encoding="utf-8"?>
<sst xmlns="http://schemas.openxmlformats.org/spreadsheetml/2006/main" count="760" uniqueCount="75">
  <si>
    <t xml:space="preserve">acetic acid ketonisation = 2nd order </t>
  </si>
  <si>
    <t>Journal of Catalysis</t>
  </si>
  <si>
    <t>Volume 314, May 2014, Pages 149–158</t>
  </si>
  <si>
    <t>Pham et al</t>
  </si>
  <si>
    <t>total flow = 50.2 mL/min</t>
  </si>
  <si>
    <t>bed length = 4 mL</t>
  </si>
  <si>
    <t xml:space="preserve">residence time = </t>
  </si>
  <si>
    <t>min</t>
  </si>
  <si>
    <t>1/T</t>
  </si>
  <si>
    <t>T, °C</t>
  </si>
  <si>
    <r>
      <t>1/</t>
    </r>
    <r>
      <rPr>
        <b/>
        <i/>
        <sz val="10"/>
        <color rgb="FF000000"/>
        <rFont val="Verdana"/>
        <family val="2"/>
      </rPr>
      <t>T</t>
    </r>
    <r>
      <rPr>
        <b/>
        <sz val="10"/>
        <color rgb="FF000000"/>
        <rFont val="Verdana"/>
        <family val="2"/>
      </rPr>
      <t>, K</t>
    </r>
    <r>
      <rPr>
        <b/>
        <vertAlign val="superscript"/>
        <sz val="10"/>
        <color rgb="FF000000"/>
        <rFont val="Verdana"/>
        <family val="2"/>
      </rPr>
      <t>–1</t>
    </r>
    <r>
      <rPr>
        <b/>
        <sz val="10"/>
        <color rgb="FF000000"/>
        <rFont val="Verdana"/>
        <family val="2"/>
      </rPr>
      <t> × 10</t>
    </r>
    <r>
      <rPr>
        <b/>
        <vertAlign val="superscript"/>
        <sz val="10"/>
        <color rgb="FF000000"/>
        <rFont val="Verdana"/>
        <family val="2"/>
      </rPr>
      <t>3</t>
    </r>
  </si>
  <si>
    <r>
      <t>k</t>
    </r>
    <r>
      <rPr>
        <b/>
        <sz val="10"/>
        <color rgb="FF000000"/>
        <rFont val="Verdana"/>
        <family val="2"/>
      </rPr>
      <t>, s</t>
    </r>
    <r>
      <rPr>
        <b/>
        <vertAlign val="superscript"/>
        <sz val="10"/>
        <color rgb="FF000000"/>
        <rFont val="Verdana"/>
        <family val="2"/>
      </rPr>
      <t>–1</t>
    </r>
  </si>
  <si>
    <r>
      <t>ln </t>
    </r>
    <r>
      <rPr>
        <b/>
        <i/>
        <sz val="10"/>
        <color rgb="FF000000"/>
        <rFont val="Verdana"/>
        <family val="2"/>
      </rPr>
      <t>k</t>
    </r>
  </si>
  <si>
    <t>–8.62</t>
  </si>
  <si>
    <t>–5.92</t>
  </si>
  <si>
    <t>–3.51</t>
  </si>
  <si>
    <t>–1.35</t>
  </si>
  <si>
    <r>
      <t>3.3*10</t>
    </r>
    <r>
      <rPr>
        <vertAlign val="superscript"/>
        <sz val="11"/>
        <color theme="1"/>
        <rFont val="Calibri"/>
        <family val="2"/>
        <scheme val="minor"/>
      </rPr>
      <t>4</t>
    </r>
  </si>
  <si>
    <t>J mol-1</t>
  </si>
  <si>
    <t>kJ mol-1</t>
  </si>
  <si>
    <t xml:space="preserve">acetic acid ketonisation = 1st order </t>
  </si>
  <si>
    <t>Kuriacose et al</t>
  </si>
  <si>
    <t>50, 330-341 (1977)</t>
  </si>
  <si>
    <t>suggests different mechanisms and thus Ea at different temperature ranges</t>
  </si>
  <si>
    <t>Ea = 33.5 kcal mol-1 below 400C and 17 kcal mol-1 above 400C</t>
  </si>
  <si>
    <t>Fe3O4</t>
  </si>
  <si>
    <t>(41.4 m2 /g)</t>
  </si>
  <si>
    <t>T (C)</t>
  </si>
  <si>
    <t>T (K)</t>
  </si>
  <si>
    <t>1/T (K)</t>
  </si>
  <si>
    <t>seconds</t>
  </si>
  <si>
    <t>rate (mol /L /s)</t>
  </si>
  <si>
    <t>ln rate</t>
  </si>
  <si>
    <t>slope=</t>
  </si>
  <si>
    <t>Ea=</t>
  </si>
  <si>
    <t>mol acetone</t>
  </si>
  <si>
    <t>[acetone] mol/L</t>
  </si>
  <si>
    <t>change in [acetone]</t>
  </si>
  <si>
    <t>conversion</t>
  </si>
  <si>
    <t>Ea 350 -  390C</t>
  </si>
  <si>
    <t>Ea 350 -  425C</t>
  </si>
  <si>
    <t>Ea 400 - 425C</t>
  </si>
  <si>
    <t>Ea 350 -  410C</t>
  </si>
  <si>
    <t>Ea 375 -  450C</t>
  </si>
  <si>
    <t>Ea 375 -  425C</t>
  </si>
  <si>
    <t>Ea 375 -  410C</t>
  </si>
  <si>
    <t>Catalyst</t>
  </si>
  <si>
    <t>bulk Fe3O4</t>
  </si>
  <si>
    <t>Fe2O3red280C H2</t>
  </si>
  <si>
    <t>Fe2O3calc500Cred H2</t>
  </si>
  <si>
    <t>Fe2O3calc800Cred H2</t>
  </si>
  <si>
    <t>particle size (nm)</t>
  </si>
  <si>
    <t>Ea (kJ mol-1)</t>
  </si>
  <si>
    <t>Fe3O4 390C N2 1hr</t>
  </si>
  <si>
    <t>Fe3O4 600C N2 1hr</t>
  </si>
  <si>
    <t>Fe3O4 500C N2 3hr</t>
  </si>
  <si>
    <t>Fe3O4 450C N2 1hr</t>
  </si>
  <si>
    <t>Ea 400 - 450C</t>
  </si>
  <si>
    <t>Ea 350 -  400C</t>
  </si>
  <si>
    <t>Ea 375 -  400C</t>
  </si>
  <si>
    <t>Ea 350 -  450C</t>
  </si>
  <si>
    <t>Ea 325 -  375C</t>
  </si>
  <si>
    <t>average</t>
  </si>
  <si>
    <t>standard deviation</t>
  </si>
  <si>
    <t>Ea 390 -  450C</t>
  </si>
  <si>
    <t>std error</t>
  </si>
  <si>
    <t>stdev</t>
  </si>
  <si>
    <t>8% Fe3O4/SiO2</t>
  </si>
  <si>
    <t>14% Fe3O4/SiO2</t>
  </si>
  <si>
    <t>28% Fe3O4/SiO2</t>
  </si>
  <si>
    <t>36% Fe3O4/SiO2</t>
  </si>
  <si>
    <t>56% Fe3O4/SiO2</t>
  </si>
  <si>
    <t>63% Fe3O4/SiO2</t>
  </si>
  <si>
    <t>4% Fe3O4/SiO2</t>
  </si>
  <si>
    <t>10-50% conv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</si>
</sst>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b/>
      <vertAlign val="superscript"/>
      <sz val="10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BC3AC"/>
        <bgColor indexed="64"/>
      </patternFill>
    </fill>
    <fill>
      <patternFill patternType="solid">
        <fgColor rgb="FFBFCDC1"/>
        <bgColor indexed="64"/>
      </patternFill>
    </fill>
    <fill>
      <patternFill patternType="solid">
        <fgColor rgb="FFCC9999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17">
    <xf numFmtId="0" fontId="0" fillId="0" borderId="0" xfId="0"/>
    <xf numFmtId="0" fontId="2" fillId="3" borderId="0" xfId="2"/>
    <xf numFmtId="0" fontId="1" fillId="2" borderId="0" xfId="1"/>
    <xf numFmtId="0" fontId="5" fillId="5" borderId="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7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3" fillId="4" borderId="1" xfId="3"/>
    <xf numFmtId="11" fontId="0" fillId="0" borderId="0" xfId="0" applyNumberFormat="1"/>
    <xf numFmtId="0" fontId="9" fillId="0" borderId="0" xfId="0" applyFont="1"/>
    <xf numFmtId="2" fontId="0" fillId="0" borderId="0" xfId="0" applyNumberFormat="1"/>
    <xf numFmtId="0" fontId="0" fillId="8" borderId="0" xfId="0" applyFill="1"/>
    <xf numFmtId="0" fontId="0" fillId="0" borderId="0" xfId="0" applyFont="1"/>
    <xf numFmtId="0" fontId="0" fillId="0" borderId="0" xfId="0"/>
    <xf numFmtId="0" fontId="0" fillId="0" borderId="0" xfId="0"/>
    <xf numFmtId="0" fontId="9" fillId="0" borderId="0" xfId="0" applyFont="1"/>
  </cellXfs>
  <cellStyles count="4"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Activation energy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</a:t>
            </a:r>
          </a:p>
          <a:p>
            <a:pPr>
              <a:defRPr sz="1200" b="0"/>
            </a:pPr>
            <a:r>
              <a:rPr lang="en-GB" sz="1200" b="0"/>
              <a:t> (10 - 50 % conversion)</a:t>
            </a:r>
          </a:p>
        </c:rich>
      </c:tx>
      <c:layout>
        <c:manualLayout>
          <c:xMode val="edge"/>
          <c:yMode val="edge"/>
          <c:x val="0.24834625164042035"/>
          <c:y val="1.201189137072151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4313955872703421"/>
          <c:y val="0.13630189083507421"/>
          <c:w val="0.80107816601049864"/>
          <c:h val="0.70916947881514814"/>
        </c:manualLayout>
      </c:layout>
      <c:scatterChart>
        <c:scatterStyle val="lineMarker"/>
        <c:ser>
          <c:idx val="2"/>
          <c:order val="2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rgbClr val="4F81BD"/>
                </a:solidFill>
              </a:ln>
            </c:spPr>
          </c:marker>
          <c:trendline>
            <c:spPr>
              <a:ln>
                <a:solidFill>
                  <a:schemeClr val="accent1"/>
                </a:solidFill>
              </a:ln>
            </c:spPr>
            <c:trendlineType val="linear"/>
          </c:trendline>
          <c:xVal>
            <c:numRef>
              <c:f>'particle size vs Ea'!$C$14:$C$20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'particle size vs Ea'!$D$14:$D$20</c:f>
              <c:numCache>
                <c:formatCode>General</c:formatCode>
                <c:ptCount val="7"/>
                <c:pt idx="0">
                  <c:v>99.2</c:v>
                </c:pt>
                <c:pt idx="1">
                  <c:v>108.2</c:v>
                </c:pt>
                <c:pt idx="2">
                  <c:v>116.1</c:v>
                </c:pt>
                <c:pt idx="3">
                  <c:v>99.4</c:v>
                </c:pt>
                <c:pt idx="4">
                  <c:v>109.6</c:v>
                </c:pt>
                <c:pt idx="5">
                  <c:v>110.2</c:v>
                </c:pt>
                <c:pt idx="6">
                  <c:v>104.6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trendline>
            <c:spPr>
              <a:ln>
                <a:solidFill>
                  <a:srgbClr val="92D050"/>
                </a:solidFill>
              </a:ln>
            </c:spPr>
            <c:trendlineType val="linear"/>
          </c:trendline>
          <c:xVal>
            <c:numRef>
              <c:f>'particle size vs Ea'!$C$3:$C$8</c:f>
              <c:numCache>
                <c:formatCode>General</c:formatCode>
                <c:ptCount val="6"/>
                <c:pt idx="0">
                  <c:v>55.5</c:v>
                </c:pt>
                <c:pt idx="2">
                  <c:v>24.9</c:v>
                </c:pt>
                <c:pt idx="3">
                  <c:v>29.5</c:v>
                </c:pt>
                <c:pt idx="4">
                  <c:v>52.2</c:v>
                </c:pt>
                <c:pt idx="5">
                  <c:v>90.5</c:v>
                </c:pt>
              </c:numCache>
            </c:numRef>
          </c:xVal>
          <c:yVal>
            <c:numRef>
              <c:f>'particle size vs Ea'!$D$3:$D$8</c:f>
              <c:numCache>
                <c:formatCode>General</c:formatCode>
                <c:ptCount val="6"/>
                <c:pt idx="0">
                  <c:v>108.9</c:v>
                </c:pt>
                <c:pt idx="2">
                  <c:v>110.9</c:v>
                </c:pt>
                <c:pt idx="3">
                  <c:v>116</c:v>
                </c:pt>
                <c:pt idx="4">
                  <c:v>106.1</c:v>
                </c:pt>
                <c:pt idx="5">
                  <c:v>70.5</c:v>
                </c:pt>
              </c:numCache>
            </c:numRef>
          </c:yVal>
        </c:ser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</c:trendline>
          <c:xVal>
            <c:numRef>
              <c:f>'particle size vs Ea'!$C$10:$C$12</c:f>
              <c:numCache>
                <c:formatCode>General</c:formatCode>
                <c:ptCount val="3"/>
                <c:pt idx="0">
                  <c:v>49.6</c:v>
                </c:pt>
                <c:pt idx="1">
                  <c:v>57.1</c:v>
                </c:pt>
                <c:pt idx="2">
                  <c:v>67</c:v>
                </c:pt>
              </c:numCache>
            </c:numRef>
          </c:xVal>
          <c:yVal>
            <c:numRef>
              <c:f>'particle size vs Ea'!$D$10:$D$12</c:f>
              <c:numCache>
                <c:formatCode>General</c:formatCode>
                <c:ptCount val="3"/>
                <c:pt idx="0">
                  <c:v>111.2</c:v>
                </c:pt>
                <c:pt idx="1">
                  <c:v>87</c:v>
                </c:pt>
                <c:pt idx="2">
                  <c:v>72.400000000000006</c:v>
                </c:pt>
              </c:numCache>
            </c:numRef>
          </c:yVal>
        </c:ser>
        <c:axId val="298809216"/>
        <c:axId val="298979328"/>
      </c:scatterChart>
      <c:valAx>
        <c:axId val="298809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Particle size (nm)</a:t>
                </a:r>
              </a:p>
            </c:rich>
          </c:tx>
          <c:layout>
            <c:manualLayout>
              <c:xMode val="edge"/>
              <c:yMode val="edge"/>
              <c:x val="0.41648458005249422"/>
              <c:y val="0.92382746799507265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98979328"/>
        <c:crosses val="autoZero"/>
        <c:crossBetween val="midCat"/>
      </c:valAx>
      <c:valAx>
        <c:axId val="2989793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Ea (kJ /mol)</a:t>
                </a:r>
              </a:p>
            </c:rich>
          </c:tx>
          <c:layout>
            <c:manualLayout>
              <c:xMode val="edge"/>
              <c:yMode val="edge"/>
              <c:x val="1.6776574803149605E-2"/>
              <c:y val="0.36235765172210632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98809216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120958284469783"/>
          <c:y val="0.60078820504579866"/>
          <c:w val="0.48640911375439788"/>
          <c:h val="0.22158390915421283"/>
        </c:manualLayout>
      </c:layout>
      <c:spPr>
        <a:solidFill>
          <a:sysClr val="window" lastClr="FFFFFF"/>
        </a:solidFill>
      </c:sp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10% Fe3O4/SiO2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894625447268388"/>
          <c:y val="0.13931263950184691"/>
          <c:w val="0.80101774278214544"/>
          <c:h val="0.7442518701515710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68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'14% Fe3O4 SiO2 (0.5g)'!$C$15:$C$17</c:f>
              <c:numCache>
                <c:formatCode>General</c:formatCode>
                <c:ptCount val="3"/>
                <c:pt idx="0">
                  <c:v>1.4641288433382138E-3</c:v>
                </c:pt>
                <c:pt idx="1">
                  <c:v>1.4326647564469914E-3</c:v>
                </c:pt>
                <c:pt idx="2">
                  <c:v>1.3831258644536654E-3</c:v>
                </c:pt>
              </c:numCache>
            </c:numRef>
          </c:xVal>
          <c:yVal>
            <c:numRef>
              <c:f>'14% Fe3O4 SiO2 (0.5g)'!$I$15:$I$17</c:f>
              <c:numCache>
                <c:formatCode>General</c:formatCode>
                <c:ptCount val="3"/>
                <c:pt idx="0">
                  <c:v>-7.1191539848958092</c:v>
                </c:pt>
                <c:pt idx="1">
                  <c:v>-6.9265407420653071</c:v>
                </c:pt>
                <c:pt idx="2">
                  <c:v>-6.5342450198213058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85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'14% Fe3O4 SiO2 (0.5g)'!$C$11:$C$14</c:f>
              <c:numCache>
                <c:formatCode>General</c:formatCode>
                <c:ptCount val="4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</c:numCache>
            </c:numRef>
          </c:xVal>
          <c:yVal>
            <c:numRef>
              <c:f>'14% Fe3O4 SiO2 (0.5g)'!$I$11:$I$14</c:f>
              <c:numCache>
                <c:formatCode>General</c:formatCode>
                <c:ptCount val="4"/>
                <c:pt idx="0">
                  <c:v>-9.3486168130608913</c:v>
                </c:pt>
                <c:pt idx="1">
                  <c:v>-8.2085673345286096</c:v>
                </c:pt>
                <c:pt idx="2">
                  <c:v>-7.6794596659251697</c:v>
                </c:pt>
                <c:pt idx="3">
                  <c:v>-7.3474833732423841</c:v>
                </c:pt>
              </c:numCache>
            </c:numRef>
          </c:yVal>
        </c:ser>
        <c:axId val="381211008"/>
        <c:axId val="250353152"/>
      </c:scatterChart>
      <c:valAx>
        <c:axId val="381211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250353152"/>
        <c:crosses val="autoZero"/>
        <c:crossBetween val="midCat"/>
      </c:valAx>
      <c:valAx>
        <c:axId val="250353152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899"/>
            </c:manualLayout>
          </c:layout>
        </c:title>
        <c:numFmt formatCode="General" sourceLinked="1"/>
        <c:tickLblPos val="nextTo"/>
        <c:crossAx val="381211008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96230971128694"/>
          <c:y val="5.1400554097404488E-2"/>
          <c:w val="0.80101774278214544"/>
          <c:h val="0.827279819189268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'14% Fe3O4 SiO2 (0.5g)'!$N$10:$N$15</c:f>
              <c:numCache>
                <c:formatCode>General</c:formatCode>
                <c:ptCount val="6"/>
              </c:numCache>
            </c:numRef>
          </c:xVal>
          <c:yVal>
            <c:numRef>
              <c:f>'14% Fe3O4 SiO2 (0.5g)'!$T$10:$T$15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055411486737844"/>
                  <c:y val="-0.34544464459044338"/>
                </c:manualLayout>
              </c:layout>
              <c:numFmt formatCode="General" sourceLinked="0"/>
            </c:trendlineLbl>
          </c:trendline>
          <c:xVal>
            <c:numRef>
              <c:f>'14% Fe3O4 SiO2 (0.5g)'!$C$12:$C$15</c:f>
              <c:numCache>
                <c:formatCode>General</c:formatCode>
                <c:ptCount val="4"/>
                <c:pt idx="0">
                  <c:v>1.5432098765432098E-3</c:v>
                </c:pt>
                <c:pt idx="1">
                  <c:v>1.5082956259426848E-3</c:v>
                </c:pt>
                <c:pt idx="2">
                  <c:v>1.4858841010401188E-3</c:v>
                </c:pt>
                <c:pt idx="3">
                  <c:v>1.4641288433382138E-3</c:v>
                </c:pt>
              </c:numCache>
            </c:numRef>
          </c:xVal>
          <c:yVal>
            <c:numRef>
              <c:f>'14% Fe3O4 SiO2 (0.5g)'!$I$12:$I$15</c:f>
              <c:numCache>
                <c:formatCode>General</c:formatCode>
                <c:ptCount val="4"/>
                <c:pt idx="0">
                  <c:v>-8.2085673345286096</c:v>
                </c:pt>
                <c:pt idx="1">
                  <c:v>-7.6794596659251697</c:v>
                </c:pt>
                <c:pt idx="2">
                  <c:v>-7.3474833732423841</c:v>
                </c:pt>
                <c:pt idx="3">
                  <c:v>-7.1191539848958092</c:v>
                </c:pt>
              </c:numCache>
            </c:numRef>
          </c:yVal>
        </c:ser>
        <c:axId val="250391168"/>
        <c:axId val="251163392"/>
      </c:scatterChart>
      <c:valAx>
        <c:axId val="250391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251163392"/>
        <c:crosses val="autoZero"/>
        <c:crossBetween val="midCat"/>
      </c:valAx>
      <c:valAx>
        <c:axId val="2511633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899"/>
            </c:manualLayout>
          </c:layout>
        </c:title>
        <c:numFmt formatCode="General" sourceLinked="1"/>
        <c:tickLblPos val="nextTo"/>
        <c:crossAx val="250391168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22% Fe3O4/SiO2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894625447268377"/>
          <c:y val="0.13931263950184691"/>
          <c:w val="0.80101774278214566"/>
          <c:h val="0.7442518701515704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68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'28% Fe3O4 SiO2 (0.23g)'!$C$15:$C$17</c:f>
              <c:numCache>
                <c:formatCode>General</c:formatCode>
                <c:ptCount val="3"/>
                <c:pt idx="0">
                  <c:v>1.4641288433382138E-3</c:v>
                </c:pt>
                <c:pt idx="1">
                  <c:v>1.4326647564469914E-3</c:v>
                </c:pt>
                <c:pt idx="2">
                  <c:v>1.3831258644536654E-3</c:v>
                </c:pt>
              </c:numCache>
            </c:numRef>
          </c:xVal>
          <c:yVal>
            <c:numRef>
              <c:f>'28% Fe3O4 SiO2 (0.23g)'!$I$15:$I$17</c:f>
              <c:numCache>
                <c:formatCode>General</c:formatCode>
                <c:ptCount val="3"/>
                <c:pt idx="0">
                  <c:v>-7.66507092847307</c:v>
                </c:pt>
                <c:pt idx="1">
                  <c:v>-7.3337137925186271</c:v>
                </c:pt>
                <c:pt idx="2">
                  <c:v>-6.3874494411239882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84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'28% Fe3O4 SiO2 (0.23g)'!$C$11:$C$15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'28% Fe3O4 SiO2 (0.23g)'!$I$11:$I$14</c:f>
              <c:numCache>
                <c:formatCode>General</c:formatCode>
                <c:ptCount val="4"/>
                <c:pt idx="0">
                  <c:v>-9.8723458416627903</c:v>
                </c:pt>
                <c:pt idx="1">
                  <c:v>-8.6612555695679916</c:v>
                </c:pt>
                <c:pt idx="2">
                  <c:v>-8.1878727432857765</c:v>
                </c:pt>
                <c:pt idx="3">
                  <c:v>-7.903207264373421</c:v>
                </c:pt>
              </c:numCache>
            </c:numRef>
          </c:yVal>
        </c:ser>
        <c:axId val="259611264"/>
        <c:axId val="259613440"/>
      </c:scatterChart>
      <c:valAx>
        <c:axId val="259611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259613440"/>
        <c:crosses val="autoZero"/>
        <c:crossBetween val="midCat"/>
      </c:valAx>
      <c:valAx>
        <c:axId val="259613440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866"/>
            </c:manualLayout>
          </c:layout>
        </c:title>
        <c:numFmt formatCode="General" sourceLinked="1"/>
        <c:tickLblPos val="nextTo"/>
        <c:crossAx val="259611264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96230971128694"/>
          <c:y val="5.1400554097404488E-2"/>
          <c:w val="0.80101774278214566"/>
          <c:h val="0.827279819189268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'28% Fe3O4 SiO2 (0.23g)'!$N$10:$N$15</c:f>
              <c:numCache>
                <c:formatCode>General</c:formatCode>
                <c:ptCount val="6"/>
              </c:numCache>
            </c:numRef>
          </c:xVal>
          <c:yVal>
            <c:numRef>
              <c:f>'28% Fe3O4 SiO2 (0.23g)'!$T$10:$T$15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055411486737844"/>
                  <c:y val="-0.34544464459044338"/>
                </c:manualLayout>
              </c:layout>
              <c:numFmt formatCode="General" sourceLinked="0"/>
            </c:trendlineLbl>
          </c:trendline>
          <c:xVal>
            <c:numRef>
              <c:f>'28% Fe3O4 SiO2 (0.23g)'!$C$12:$C$16</c:f>
              <c:numCache>
                <c:formatCode>General</c:formatCode>
                <c:ptCount val="5"/>
                <c:pt idx="0">
                  <c:v>1.5432098765432098E-3</c:v>
                </c:pt>
                <c:pt idx="1">
                  <c:v>1.5082956259426848E-3</c:v>
                </c:pt>
                <c:pt idx="2">
                  <c:v>1.4858841010401188E-3</c:v>
                </c:pt>
                <c:pt idx="3">
                  <c:v>1.4641288433382138E-3</c:v>
                </c:pt>
                <c:pt idx="4">
                  <c:v>1.4326647564469914E-3</c:v>
                </c:pt>
              </c:numCache>
            </c:numRef>
          </c:xVal>
          <c:yVal>
            <c:numRef>
              <c:f>'28% Fe3O4 SiO2 (0.23g)'!$I$12:$I$16</c:f>
              <c:numCache>
                <c:formatCode>General</c:formatCode>
                <c:ptCount val="5"/>
                <c:pt idx="0">
                  <c:v>-8.6612555695679916</c:v>
                </c:pt>
                <c:pt idx="1">
                  <c:v>-8.1878727432857765</c:v>
                </c:pt>
                <c:pt idx="2">
                  <c:v>-7.903207264373421</c:v>
                </c:pt>
                <c:pt idx="3">
                  <c:v>-7.66507092847307</c:v>
                </c:pt>
                <c:pt idx="4">
                  <c:v>-7.3337137925186271</c:v>
                </c:pt>
              </c:numCache>
            </c:numRef>
          </c:yVal>
        </c:ser>
        <c:axId val="259676032"/>
        <c:axId val="259682304"/>
      </c:scatterChart>
      <c:valAx>
        <c:axId val="25967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259682304"/>
        <c:crosses val="autoZero"/>
        <c:crossBetween val="midCat"/>
      </c:valAx>
      <c:valAx>
        <c:axId val="2596823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866"/>
            </c:manualLayout>
          </c:layout>
        </c:title>
        <c:numFmt formatCode="General" sourceLinked="1"/>
        <c:tickLblPos val="nextTo"/>
        <c:crossAx val="259676032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33% Fe3O4/SiO2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894625447268388"/>
          <c:y val="0.13931263950184691"/>
          <c:w val="0.80101774278214544"/>
          <c:h val="0.7442518701515710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68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'36% Fe3O4 SiO2 (0.14g)'!$C$15:$C$17</c:f>
              <c:numCache>
                <c:formatCode>General</c:formatCode>
                <c:ptCount val="3"/>
                <c:pt idx="0">
                  <c:v>1.4641288433382138E-3</c:v>
                </c:pt>
                <c:pt idx="1">
                  <c:v>1.4326647564469914E-3</c:v>
                </c:pt>
                <c:pt idx="2">
                  <c:v>1.3831258644536654E-3</c:v>
                </c:pt>
              </c:numCache>
            </c:numRef>
          </c:xVal>
          <c:yVal>
            <c:numRef>
              <c:f>'36% Fe3O4 SiO2 (0.14g)'!$I$15:$I$17</c:f>
              <c:numCache>
                <c:formatCode>General</c:formatCode>
                <c:ptCount val="3"/>
                <c:pt idx="0">
                  <c:v>-8.4110162945999853</c:v>
                </c:pt>
                <c:pt idx="1">
                  <c:v>-7.879325532370034</c:v>
                </c:pt>
                <c:pt idx="2">
                  <c:v>-7.3405748828985731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85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'36% Fe3O4 SiO2 (0.14g)'!$C$11:$C$15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'36% Fe3O4 SiO2 (0.14g)'!$I$11:$I$14</c:f>
              <c:numCache>
                <c:formatCode>General</c:formatCode>
                <c:ptCount val="4"/>
                <c:pt idx="0">
                  <c:v>-10.90196525884395</c:v>
                </c:pt>
                <c:pt idx="1">
                  <c:v>-9.414866198602093</c:v>
                </c:pt>
                <c:pt idx="2">
                  <c:v>-8.9321018687661429</c:v>
                </c:pt>
                <c:pt idx="3">
                  <c:v>-8.7334311739706578</c:v>
                </c:pt>
              </c:numCache>
            </c:numRef>
          </c:yVal>
        </c:ser>
        <c:axId val="259725184"/>
        <c:axId val="259735552"/>
      </c:scatterChart>
      <c:valAx>
        <c:axId val="259725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259735552"/>
        <c:crosses val="autoZero"/>
        <c:crossBetween val="midCat"/>
      </c:valAx>
      <c:valAx>
        <c:axId val="259735552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899"/>
            </c:manualLayout>
          </c:layout>
        </c:title>
        <c:numFmt formatCode="General" sourceLinked="1"/>
        <c:tickLblPos val="nextTo"/>
        <c:crossAx val="259725184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96230971128694"/>
          <c:y val="5.1400554097404488E-2"/>
          <c:w val="0.80101774278214544"/>
          <c:h val="0.827279819189268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'36% Fe3O4 SiO2 (0.14g)'!$N$10:$N$15</c:f>
              <c:numCache>
                <c:formatCode>General</c:formatCode>
                <c:ptCount val="6"/>
              </c:numCache>
            </c:numRef>
          </c:xVal>
          <c:yVal>
            <c:numRef>
              <c:f>'33% Fe3O4 SiO2 (0.14g)'!#REF!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055411486737844"/>
                  <c:y val="-0.34544464459044338"/>
                </c:manualLayout>
              </c:layout>
              <c:numFmt formatCode="General" sourceLinked="0"/>
            </c:trendlineLbl>
          </c:trendline>
          <c:xVal>
            <c:numRef>
              <c:f>'36% Fe3O4 SiO2 (0.14g)'!$C$12:$C$17</c:f>
              <c:numCache>
                <c:formatCode>General</c:formatCode>
                <c:ptCount val="6"/>
                <c:pt idx="0">
                  <c:v>1.5432098765432098E-3</c:v>
                </c:pt>
                <c:pt idx="1">
                  <c:v>1.5082956259426848E-3</c:v>
                </c:pt>
                <c:pt idx="2">
                  <c:v>1.4858841010401188E-3</c:v>
                </c:pt>
                <c:pt idx="3">
                  <c:v>1.4641288433382138E-3</c:v>
                </c:pt>
                <c:pt idx="4">
                  <c:v>1.4326647564469914E-3</c:v>
                </c:pt>
                <c:pt idx="5">
                  <c:v>1.3831258644536654E-3</c:v>
                </c:pt>
              </c:numCache>
            </c:numRef>
          </c:xVal>
          <c:yVal>
            <c:numRef>
              <c:f>'36% Fe3O4 SiO2 (0.14g)'!$I$12:$I$17</c:f>
              <c:numCache>
                <c:formatCode>General</c:formatCode>
                <c:ptCount val="6"/>
                <c:pt idx="0">
                  <c:v>-9.414866198602093</c:v>
                </c:pt>
                <c:pt idx="1">
                  <c:v>-8.9321018687661429</c:v>
                </c:pt>
                <c:pt idx="2">
                  <c:v>-8.7334311739706578</c:v>
                </c:pt>
                <c:pt idx="3">
                  <c:v>-8.4110162945999853</c:v>
                </c:pt>
                <c:pt idx="4">
                  <c:v>-7.879325532370034</c:v>
                </c:pt>
                <c:pt idx="5">
                  <c:v>-7.3405748828985731</c:v>
                </c:pt>
              </c:numCache>
            </c:numRef>
          </c:yVal>
        </c:ser>
        <c:axId val="259757184"/>
        <c:axId val="259759104"/>
      </c:scatterChart>
      <c:valAx>
        <c:axId val="259757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259759104"/>
        <c:crosses val="autoZero"/>
        <c:crossBetween val="midCat"/>
      </c:valAx>
      <c:valAx>
        <c:axId val="259759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899"/>
            </c:manualLayout>
          </c:layout>
        </c:title>
        <c:numFmt formatCode="General" sourceLinked="1"/>
        <c:tickLblPos val="nextTo"/>
        <c:crossAx val="259757184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66% Fe3O4/SiO2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894625447268397"/>
          <c:y val="0.13931263950184691"/>
          <c:w val="0.80101774278214521"/>
          <c:h val="0.7442518701515714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69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'56% Fe3O4 SiO2 (0.1g)'!$C$15:$C$17</c:f>
              <c:numCache>
                <c:formatCode>General</c:formatCode>
                <c:ptCount val="3"/>
                <c:pt idx="0">
                  <c:v>1.4641288433382138E-3</c:v>
                </c:pt>
                <c:pt idx="1">
                  <c:v>1.4326647564469914E-3</c:v>
                </c:pt>
                <c:pt idx="2">
                  <c:v>1.3831258644536654E-3</c:v>
                </c:pt>
              </c:numCache>
            </c:numRef>
          </c:xVal>
          <c:yVal>
            <c:numRef>
              <c:f>'56% Fe3O4 SiO2 (0.1g)'!$I$15:$I$17</c:f>
              <c:numCache>
                <c:formatCode>General</c:formatCode>
                <c:ptCount val="3"/>
                <c:pt idx="0">
                  <c:v>-8.8097271556425856</c:v>
                </c:pt>
                <c:pt idx="1">
                  <c:v>-8.3803663422560266</c:v>
                </c:pt>
                <c:pt idx="2">
                  <c:v>-7.5268629879646456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87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'56% Fe3O4 SiO2 (0.1g)'!$C$11:$C$15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'56% Fe3O4 SiO2 (0.1g)'!$I$11:$I$14</c:f>
              <c:numCache>
                <c:formatCode>General</c:formatCode>
                <c:ptCount val="4"/>
                <c:pt idx="0">
                  <c:v>-10.290883031338307</c:v>
                </c:pt>
                <c:pt idx="1">
                  <c:v>-9.4328348921449088</c:v>
                </c:pt>
                <c:pt idx="2">
                  <c:v>-9.1514487481499422</c:v>
                </c:pt>
                <c:pt idx="3">
                  <c:v>-9.0250479812755877</c:v>
                </c:pt>
              </c:numCache>
            </c:numRef>
          </c:yVal>
        </c:ser>
        <c:axId val="259884160"/>
        <c:axId val="259886080"/>
      </c:scatterChart>
      <c:valAx>
        <c:axId val="25988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259886080"/>
        <c:crosses val="autoZero"/>
        <c:crossBetween val="midCat"/>
      </c:valAx>
      <c:valAx>
        <c:axId val="259886080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32"/>
            </c:manualLayout>
          </c:layout>
        </c:title>
        <c:numFmt formatCode="General" sourceLinked="1"/>
        <c:tickLblPos val="nextTo"/>
        <c:crossAx val="259884160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96230971128694"/>
          <c:y val="5.1400554097404488E-2"/>
          <c:w val="0.80101774278214521"/>
          <c:h val="0.827279819189268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'56% Fe3O4 SiO2 (0.1g)'!$N$10:$N$15</c:f>
              <c:numCache>
                <c:formatCode>General</c:formatCode>
                <c:ptCount val="6"/>
              </c:numCache>
            </c:numRef>
          </c:xVal>
          <c:yVal>
            <c:numRef>
              <c:f>'33% Fe3O4 SiO2 (0.14g)'!#REF!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055411486737844"/>
                  <c:y val="-0.34544464459044338"/>
                </c:manualLayout>
              </c:layout>
              <c:numFmt formatCode="General" sourceLinked="0"/>
            </c:trendlineLbl>
          </c:trendline>
          <c:xVal>
            <c:numRef>
              <c:f>'56% Fe3O4 SiO2 (0.1g)'!$C$13:$C$17</c:f>
              <c:numCache>
                <c:formatCode>General</c:formatCode>
                <c:ptCount val="5"/>
                <c:pt idx="0">
                  <c:v>1.5082956259426848E-3</c:v>
                </c:pt>
                <c:pt idx="1">
                  <c:v>1.4858841010401188E-3</c:v>
                </c:pt>
                <c:pt idx="2">
                  <c:v>1.4641288433382138E-3</c:v>
                </c:pt>
                <c:pt idx="3">
                  <c:v>1.4326647564469914E-3</c:v>
                </c:pt>
                <c:pt idx="4">
                  <c:v>1.3831258644536654E-3</c:v>
                </c:pt>
              </c:numCache>
            </c:numRef>
          </c:xVal>
          <c:yVal>
            <c:numRef>
              <c:f>'56% Fe3O4 SiO2 (0.1g)'!$I$13:$I$17</c:f>
              <c:numCache>
                <c:formatCode>General</c:formatCode>
                <c:ptCount val="5"/>
                <c:pt idx="0">
                  <c:v>-9.1514487481499422</c:v>
                </c:pt>
                <c:pt idx="1">
                  <c:v>-9.0250479812755877</c:v>
                </c:pt>
                <c:pt idx="2">
                  <c:v>-8.8097271556425856</c:v>
                </c:pt>
                <c:pt idx="3">
                  <c:v>-8.3803663422560266</c:v>
                </c:pt>
                <c:pt idx="4">
                  <c:v>-7.5268629879646456</c:v>
                </c:pt>
              </c:numCache>
            </c:numRef>
          </c:yVal>
        </c:ser>
        <c:axId val="259920256"/>
        <c:axId val="259922176"/>
      </c:scatterChart>
      <c:valAx>
        <c:axId val="259920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259922176"/>
        <c:crosses val="autoZero"/>
        <c:crossBetween val="midCat"/>
      </c:valAx>
      <c:valAx>
        <c:axId val="2599221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32"/>
            </c:manualLayout>
          </c:layout>
        </c:title>
        <c:numFmt formatCode="General" sourceLinked="1"/>
        <c:tickLblPos val="nextTo"/>
        <c:crossAx val="259920256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80% Fe3O4/SiO2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894625447268408"/>
          <c:y val="0.13931263950184691"/>
          <c:w val="0.80101774278214499"/>
          <c:h val="0.7442518701515720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7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'63% Fe3O4 SiO2 (0.1g)'!$C$15:$C$17</c:f>
              <c:numCache>
                <c:formatCode>General</c:formatCode>
                <c:ptCount val="3"/>
                <c:pt idx="0">
                  <c:v>1.4641288433382138E-3</c:v>
                </c:pt>
                <c:pt idx="1">
                  <c:v>1.4326647564469914E-3</c:v>
                </c:pt>
                <c:pt idx="2">
                  <c:v>1.3831258644536654E-3</c:v>
                </c:pt>
              </c:numCache>
            </c:numRef>
          </c:xVal>
          <c:yVal>
            <c:numRef>
              <c:f>'63% Fe3O4 SiO2 (0.1g)'!$I$15:$I$17</c:f>
              <c:numCache>
                <c:formatCode>General</c:formatCode>
                <c:ptCount val="3"/>
                <c:pt idx="0">
                  <c:v>-9.1011559540959759</c:v>
                </c:pt>
                <c:pt idx="1">
                  <c:v>-8.7081133659863692</c:v>
                </c:pt>
                <c:pt idx="2">
                  <c:v>-7.979129570257383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89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'63% Fe3O4 SiO2 (0.1g)'!$C$11:$C$15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'63% Fe3O4 SiO2 (0.1g)'!$I$11:$I$15</c:f>
              <c:numCache>
                <c:formatCode>General</c:formatCode>
                <c:ptCount val="5"/>
                <c:pt idx="0">
                  <c:v>-11.443562541276693</c:v>
                </c:pt>
                <c:pt idx="1">
                  <c:v>-9.9418026426407824</c:v>
                </c:pt>
                <c:pt idx="2">
                  <c:v>-9.6979924545180136</c:v>
                </c:pt>
                <c:pt idx="3">
                  <c:v>-9.4349291337480246</c:v>
                </c:pt>
                <c:pt idx="4">
                  <c:v>-9.1011559540959759</c:v>
                </c:pt>
              </c:numCache>
            </c:numRef>
          </c:yVal>
        </c:ser>
        <c:axId val="259944832"/>
        <c:axId val="259946752"/>
      </c:scatterChart>
      <c:valAx>
        <c:axId val="259944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259946752"/>
        <c:crosses val="autoZero"/>
        <c:crossBetween val="midCat"/>
      </c:valAx>
      <c:valAx>
        <c:axId val="259946752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6"/>
            </c:manualLayout>
          </c:layout>
        </c:title>
        <c:numFmt formatCode="General" sourceLinked="1"/>
        <c:tickLblPos val="nextTo"/>
        <c:crossAx val="259944832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96230971128694"/>
          <c:y val="5.1400554097404488E-2"/>
          <c:w val="0.80101774278214499"/>
          <c:h val="0.827279819189268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'63% Fe3O4 SiO2 (0.1g)'!$N$10:$N$15</c:f>
              <c:numCache>
                <c:formatCode>General</c:formatCode>
                <c:ptCount val="6"/>
              </c:numCache>
            </c:numRef>
          </c:xVal>
          <c:yVal>
            <c:numRef>
              <c:f>'33% Fe3O4 SiO2 (0.14g)'!#REF!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055411486737844"/>
                  <c:y val="-0.34544464459044338"/>
                </c:manualLayout>
              </c:layout>
              <c:numFmt formatCode="General" sourceLinked="0"/>
            </c:trendlineLbl>
          </c:trendline>
          <c:xVal>
            <c:numRef>
              <c:f>'63% Fe3O4 SiO2 (0.1g)'!$C$12:$C$17</c:f>
              <c:numCache>
                <c:formatCode>General</c:formatCode>
                <c:ptCount val="6"/>
                <c:pt idx="0">
                  <c:v>1.5432098765432098E-3</c:v>
                </c:pt>
                <c:pt idx="1">
                  <c:v>1.5082956259426848E-3</c:v>
                </c:pt>
                <c:pt idx="2">
                  <c:v>1.4858841010401188E-3</c:v>
                </c:pt>
                <c:pt idx="3">
                  <c:v>1.4641288433382138E-3</c:v>
                </c:pt>
                <c:pt idx="4">
                  <c:v>1.4326647564469914E-3</c:v>
                </c:pt>
                <c:pt idx="5">
                  <c:v>1.3831258644536654E-3</c:v>
                </c:pt>
              </c:numCache>
            </c:numRef>
          </c:xVal>
          <c:yVal>
            <c:numRef>
              <c:f>'63% Fe3O4 SiO2 (0.1g)'!$I$12:$I$17</c:f>
              <c:numCache>
                <c:formatCode>General</c:formatCode>
                <c:ptCount val="6"/>
                <c:pt idx="0">
                  <c:v>-9.9418026426407824</c:v>
                </c:pt>
                <c:pt idx="1">
                  <c:v>-9.6979924545180136</c:v>
                </c:pt>
                <c:pt idx="2">
                  <c:v>-9.4349291337480246</c:v>
                </c:pt>
                <c:pt idx="3">
                  <c:v>-9.1011559540959759</c:v>
                </c:pt>
                <c:pt idx="4">
                  <c:v>-8.7081133659863692</c:v>
                </c:pt>
                <c:pt idx="5">
                  <c:v>-7.979129570257383</c:v>
                </c:pt>
              </c:numCache>
            </c:numRef>
          </c:yVal>
        </c:ser>
        <c:axId val="259960192"/>
        <c:axId val="260261376"/>
      </c:scatterChart>
      <c:valAx>
        <c:axId val="259960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260261376"/>
        <c:crosses val="autoZero"/>
        <c:crossBetween val="midCat"/>
      </c:valAx>
      <c:valAx>
        <c:axId val="260261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6"/>
            </c:manualLayout>
          </c:layout>
        </c:title>
        <c:numFmt formatCode="General" sourceLinked="1"/>
        <c:tickLblPos val="nextTo"/>
        <c:crossAx val="259960192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Activation energy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</a:t>
            </a:r>
          </a:p>
          <a:p>
            <a:pPr>
              <a:defRPr sz="1200" b="0"/>
            </a:pPr>
            <a:r>
              <a:rPr lang="en-GB" sz="1200" b="0"/>
              <a:t> (10 - 50 % conversion)</a:t>
            </a:r>
          </a:p>
        </c:rich>
      </c:tx>
      <c:layout>
        <c:manualLayout>
          <c:xMode val="edge"/>
          <c:yMode val="edge"/>
          <c:x val="0.16157055555555536"/>
          <c:y val="1.201194444444442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725055555555556"/>
          <c:y val="0.13630189083507421"/>
          <c:w val="0.78696694444444448"/>
          <c:h val="0.70916947881514814"/>
        </c:manualLayout>
      </c:layout>
      <c:scatterChart>
        <c:scatterStyle val="lineMarker"/>
        <c:ser>
          <c:idx val="2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'particle size vs Ea'!$C$14:$C$20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'particle size vs Ea'!$D$14:$D$20</c:f>
              <c:numCache>
                <c:formatCode>General</c:formatCode>
                <c:ptCount val="7"/>
                <c:pt idx="0">
                  <c:v>99.2</c:v>
                </c:pt>
                <c:pt idx="1">
                  <c:v>108.2</c:v>
                </c:pt>
                <c:pt idx="2">
                  <c:v>116.1</c:v>
                </c:pt>
                <c:pt idx="3">
                  <c:v>99.4</c:v>
                </c:pt>
                <c:pt idx="4">
                  <c:v>109.6</c:v>
                </c:pt>
                <c:pt idx="5">
                  <c:v>110.2</c:v>
                </c:pt>
                <c:pt idx="6">
                  <c:v>104.6</c:v>
                </c:pt>
              </c:numCache>
            </c:numRef>
          </c:yVal>
        </c:ser>
        <c:axId val="299136896"/>
        <c:axId val="299631744"/>
      </c:scatterChart>
      <c:valAx>
        <c:axId val="299136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Particle size (nm)</a:t>
                </a:r>
              </a:p>
            </c:rich>
          </c:tx>
          <c:layout>
            <c:manualLayout>
              <c:xMode val="edge"/>
              <c:yMode val="edge"/>
              <c:x val="0.37062333333333336"/>
              <c:y val="0.92735527777777782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99631744"/>
        <c:crosses val="autoZero"/>
        <c:crossBetween val="midCat"/>
      </c:valAx>
      <c:valAx>
        <c:axId val="299631744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Ea (kJ /mol)</a:t>
                </a:r>
              </a:p>
            </c:rich>
          </c:tx>
          <c:layout>
            <c:manualLayout>
              <c:xMode val="edge"/>
              <c:yMode val="edge"/>
              <c:x val="1.6776574803149605E-2"/>
              <c:y val="0.36235765172210632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99136896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Fe2O3red280C H2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894625447268408"/>
          <c:y val="0.13931263950184691"/>
          <c:w val="0.80101774278214499"/>
          <c:h val="0.7442518701515720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7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'Fe2O3red280C H2'!$C$15:$C$17</c:f>
              <c:numCache>
                <c:formatCode>General</c:formatCode>
                <c:ptCount val="3"/>
                <c:pt idx="0">
                  <c:v>1.4641288433382138E-3</c:v>
                </c:pt>
                <c:pt idx="1">
                  <c:v>1.4326647564469914E-3</c:v>
                </c:pt>
                <c:pt idx="2">
                  <c:v>1.3831258644536654E-3</c:v>
                </c:pt>
              </c:numCache>
            </c:numRef>
          </c:xVal>
          <c:yVal>
            <c:numRef>
              <c:f>'Fe2O3red280C H2'!$I$15:$I$17</c:f>
              <c:numCache>
                <c:formatCode>General</c:formatCode>
                <c:ptCount val="3"/>
                <c:pt idx="0">
                  <c:v>-6.3376170673761125</c:v>
                </c:pt>
                <c:pt idx="1">
                  <c:v>-6.0989382499778317</c:v>
                </c:pt>
                <c:pt idx="2">
                  <c:v>-5.8466849841296931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89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'Fe2O3red280C H2'!$C$11:$C$15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'Fe2O3red280C H2'!$I$11:$I$14</c:f>
              <c:numCache>
                <c:formatCode>General</c:formatCode>
                <c:ptCount val="4"/>
                <c:pt idx="0">
                  <c:v>-8.6060691540006999</c:v>
                </c:pt>
                <c:pt idx="1">
                  <c:v>-7.5611400056248383</c:v>
                </c:pt>
                <c:pt idx="2">
                  <c:v>-7.2853307116033417</c:v>
                </c:pt>
                <c:pt idx="3">
                  <c:v>-6.9911551098410118</c:v>
                </c:pt>
              </c:numCache>
            </c:numRef>
          </c:yVal>
        </c:ser>
        <c:axId val="260382080"/>
        <c:axId val="260404736"/>
      </c:scatterChart>
      <c:valAx>
        <c:axId val="260382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260404736"/>
        <c:crosses val="autoZero"/>
        <c:crossBetween val="midCat"/>
      </c:valAx>
      <c:valAx>
        <c:axId val="260404736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6"/>
            </c:manualLayout>
          </c:layout>
        </c:title>
        <c:numFmt formatCode="General" sourceLinked="1"/>
        <c:tickLblPos val="nextTo"/>
        <c:crossAx val="260382080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96230971128694"/>
          <c:y val="5.1400554097404488E-2"/>
          <c:w val="0.80101774278214499"/>
          <c:h val="0.827279819189268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'Fe2O3red280C H2'!$N$10:$N$15</c:f>
              <c:numCache>
                <c:formatCode>General</c:formatCode>
                <c:ptCount val="6"/>
              </c:numCache>
            </c:numRef>
          </c:xVal>
          <c:yVal>
            <c:numRef>
              <c:f>'33% Fe3O4 SiO2 (0.14g)'!#REF!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055411486737844"/>
                  <c:y val="-0.34544464459044338"/>
                </c:manualLayout>
              </c:layout>
              <c:numFmt formatCode="General" sourceLinked="0"/>
            </c:trendlineLbl>
          </c:trendline>
          <c:xVal>
            <c:numRef>
              <c:f>'Fe2O3red280C H2'!$C$11:$C$14</c:f>
              <c:numCache>
                <c:formatCode>General</c:formatCode>
                <c:ptCount val="4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</c:numCache>
            </c:numRef>
          </c:xVal>
          <c:yVal>
            <c:numRef>
              <c:f>'Fe2O3red280C H2'!$I$11:$I$14</c:f>
              <c:numCache>
                <c:formatCode>General</c:formatCode>
                <c:ptCount val="4"/>
                <c:pt idx="0">
                  <c:v>-8.6060691540006999</c:v>
                </c:pt>
                <c:pt idx="1">
                  <c:v>-7.5611400056248383</c:v>
                </c:pt>
                <c:pt idx="2">
                  <c:v>-7.2853307116033417</c:v>
                </c:pt>
                <c:pt idx="3">
                  <c:v>-6.9911551098410118</c:v>
                </c:pt>
              </c:numCache>
            </c:numRef>
          </c:yVal>
        </c:ser>
        <c:axId val="300558976"/>
        <c:axId val="301142784"/>
      </c:scatterChart>
      <c:valAx>
        <c:axId val="300558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01142784"/>
        <c:crosses val="autoZero"/>
        <c:crossBetween val="midCat"/>
      </c:valAx>
      <c:valAx>
        <c:axId val="3011427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6"/>
            </c:manualLayout>
          </c:layout>
        </c:title>
        <c:numFmt formatCode="General" sourceLinked="1"/>
        <c:tickLblPos val="nextTo"/>
        <c:crossAx val="300558976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Fe3O4calcined500C@350C N2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894625447268427"/>
          <c:y val="0.13931263950184691"/>
          <c:w val="0.80101774278214455"/>
          <c:h val="0.7442518701515730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7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'Fe2O3@500Cred350CH2'!$C$15:$C$17</c:f>
              <c:numCache>
                <c:formatCode>General</c:formatCode>
                <c:ptCount val="3"/>
                <c:pt idx="0">
                  <c:v>1.4641288433382138E-3</c:v>
                </c:pt>
                <c:pt idx="1">
                  <c:v>1.4326647564469914E-3</c:v>
                </c:pt>
                <c:pt idx="2">
                  <c:v>1.3831258644536654E-3</c:v>
                </c:pt>
              </c:numCache>
            </c:numRef>
          </c:xVal>
          <c:yVal>
            <c:numRef>
              <c:f>'Fe2O3@500Cred350CH2'!$I$15:$I$17</c:f>
              <c:numCache>
                <c:formatCode>General</c:formatCode>
                <c:ptCount val="3"/>
                <c:pt idx="0">
                  <c:v>-6.3040943753374687</c:v>
                </c:pt>
                <c:pt idx="1">
                  <c:v>-6.0632812368772262</c:v>
                </c:pt>
                <c:pt idx="2">
                  <c:v>-5.8517208266526479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92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'Fe2O3@500Cred350CH2'!$C$11:$C$15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'Fe2O3@500Cred350CH2'!$I$11:$I$14</c:f>
              <c:numCache>
                <c:formatCode>General</c:formatCode>
                <c:ptCount val="4"/>
                <c:pt idx="0">
                  <c:v>-8.316710635221666</c:v>
                </c:pt>
                <c:pt idx="1">
                  <c:v>-7.6322811056500797</c:v>
                </c:pt>
                <c:pt idx="2">
                  <c:v>-7.2951507577843167</c:v>
                </c:pt>
                <c:pt idx="3">
                  <c:v>-7.0683953161537048</c:v>
                </c:pt>
              </c:numCache>
            </c:numRef>
          </c:yVal>
        </c:ser>
        <c:axId val="301165184"/>
        <c:axId val="301171456"/>
      </c:scatterChart>
      <c:valAx>
        <c:axId val="301165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01171456"/>
        <c:crosses val="autoZero"/>
        <c:crossBetween val="midCat"/>
      </c:valAx>
      <c:valAx>
        <c:axId val="301171456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7027"/>
            </c:manualLayout>
          </c:layout>
        </c:title>
        <c:numFmt formatCode="General" sourceLinked="1"/>
        <c:tickLblPos val="nextTo"/>
        <c:crossAx val="301165184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96230971128694"/>
          <c:y val="5.1400554097404488E-2"/>
          <c:w val="0.80101774278214455"/>
          <c:h val="0.827279819189268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'Fe2O3@500Cred350CH2'!$N$10:$N$15</c:f>
              <c:numCache>
                <c:formatCode>General</c:formatCode>
                <c:ptCount val="6"/>
              </c:numCache>
            </c:numRef>
          </c:xVal>
          <c:yVal>
            <c:numRef>
              <c:f>'33% Fe3O4 SiO2 (0.14g)'!#REF!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105536957580901"/>
                  <c:y val="-0.31707548751617132"/>
                </c:manualLayout>
              </c:layout>
              <c:numFmt formatCode="General" sourceLinked="0"/>
            </c:trendlineLbl>
          </c:trendline>
          <c:xVal>
            <c:numRef>
              <c:f>'Fe2O3@500Cred350CH2'!$C$11:$C$14</c:f>
              <c:numCache>
                <c:formatCode>General</c:formatCode>
                <c:ptCount val="4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</c:numCache>
            </c:numRef>
          </c:xVal>
          <c:yVal>
            <c:numRef>
              <c:f>'Fe2O3@500Cred350CH2'!$I$11:$I$14</c:f>
              <c:numCache>
                <c:formatCode>General</c:formatCode>
                <c:ptCount val="4"/>
                <c:pt idx="0">
                  <c:v>-8.316710635221666</c:v>
                </c:pt>
                <c:pt idx="1">
                  <c:v>-7.6322811056500797</c:v>
                </c:pt>
                <c:pt idx="2">
                  <c:v>-7.2951507577843167</c:v>
                </c:pt>
                <c:pt idx="3">
                  <c:v>-7.0683953161537048</c:v>
                </c:pt>
              </c:numCache>
            </c:numRef>
          </c:yVal>
        </c:ser>
        <c:axId val="301180800"/>
        <c:axId val="301195264"/>
      </c:scatterChart>
      <c:valAx>
        <c:axId val="301180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01195264"/>
        <c:crosses val="autoZero"/>
        <c:crossBetween val="midCat"/>
      </c:valAx>
      <c:valAx>
        <c:axId val="3011952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7027"/>
            </c:manualLayout>
          </c:layout>
        </c:title>
        <c:numFmt formatCode="General" sourceLinked="1"/>
        <c:tickLblPos val="nextTo"/>
        <c:crossAx val="301180800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Fe3O4calcined800C@350C N2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894625447268438"/>
          <c:y val="0.13931263950184691"/>
          <c:w val="0.80101774278214433"/>
          <c:h val="0.7442518701515734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7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'Fe2O3@800Cred350CH2'!$C$15:$C$18</c:f>
              <c:numCache>
                <c:formatCode>General</c:formatCode>
                <c:ptCount val="4"/>
                <c:pt idx="0">
                  <c:v>1.4641288433382138E-3</c:v>
                </c:pt>
                <c:pt idx="1">
                  <c:v>1.4326647564469914E-3</c:v>
                </c:pt>
                <c:pt idx="2">
                  <c:v>1.4025245441795231E-3</c:v>
                </c:pt>
                <c:pt idx="3">
                  <c:v>1.3831258644536654E-3</c:v>
                </c:pt>
              </c:numCache>
            </c:numRef>
          </c:xVal>
          <c:yVal>
            <c:numRef>
              <c:f>'Fe2O3@800Cred350CH2'!$I$15:$I$18</c:f>
              <c:numCache>
                <c:formatCode>General</c:formatCode>
                <c:ptCount val="4"/>
                <c:pt idx="0">
                  <c:v>-7.8388575828171874</c:v>
                </c:pt>
                <c:pt idx="1">
                  <c:v>-7.6072513575842438</c:v>
                </c:pt>
                <c:pt idx="2">
                  <c:v>-7.2268159975419151</c:v>
                </c:pt>
                <c:pt idx="3">
                  <c:v>-7.1571065369881115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94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'Fe2O3@800Cred350CH2'!$C$11:$C$14</c:f>
              <c:numCache>
                <c:formatCode>General</c:formatCode>
                <c:ptCount val="4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</c:numCache>
            </c:numRef>
          </c:xVal>
          <c:yVal>
            <c:numRef>
              <c:f>'Fe2O3@800Cred350CH2'!$I$11:$I$14</c:f>
              <c:numCache>
                <c:formatCode>General</c:formatCode>
                <c:ptCount val="4"/>
                <c:pt idx="0">
                  <c:v>-9.2359751769049279</c:v>
                </c:pt>
                <c:pt idx="1">
                  <c:v>-8.3203719665429006</c:v>
                </c:pt>
                <c:pt idx="2">
                  <c:v>-7.9401345369656395</c:v>
                </c:pt>
                <c:pt idx="3">
                  <c:v>-7.894184646773784</c:v>
                </c:pt>
              </c:numCache>
            </c:numRef>
          </c:yVal>
        </c:ser>
        <c:axId val="311433088"/>
        <c:axId val="311439360"/>
      </c:scatterChart>
      <c:valAx>
        <c:axId val="311433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11439360"/>
        <c:crosses val="autoZero"/>
        <c:crossBetween val="midCat"/>
      </c:valAx>
      <c:valAx>
        <c:axId val="311439360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706"/>
            </c:manualLayout>
          </c:layout>
        </c:title>
        <c:numFmt formatCode="General" sourceLinked="1"/>
        <c:tickLblPos val="nextTo"/>
        <c:crossAx val="311433088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96222253655421"/>
          <c:y val="5.1400517781630302E-2"/>
          <c:w val="0.80101774278214433"/>
          <c:h val="0.827279819189268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'Fe2O3@800Cred350CH2'!$N$10:$N$15</c:f>
              <c:numCache>
                <c:formatCode>General</c:formatCode>
                <c:ptCount val="6"/>
              </c:numCache>
            </c:numRef>
          </c:xVal>
          <c:yVal>
            <c:numRef>
              <c:f>'33% Fe3O4 SiO2 (0.14g)'!#REF!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055411486737844"/>
                  <c:y val="-0.34544464459044338"/>
                </c:manualLayout>
              </c:layout>
              <c:numFmt formatCode="General" sourceLinked="0"/>
            </c:trendlineLbl>
          </c:trendline>
          <c:xVal>
            <c:numRef>
              <c:f>'Fe2O3@800Cred350CH2'!$C$11:$C$17</c:f>
              <c:numCache>
                <c:formatCode>General</c:formatCode>
                <c:ptCount val="7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  <c:pt idx="5">
                  <c:v>1.4326647564469914E-3</c:v>
                </c:pt>
                <c:pt idx="6">
                  <c:v>1.4025245441795231E-3</c:v>
                </c:pt>
              </c:numCache>
            </c:numRef>
          </c:xVal>
          <c:yVal>
            <c:numRef>
              <c:f>'Fe2O3@800Cred350CH2'!$I$11:$I$17</c:f>
              <c:numCache>
                <c:formatCode>General</c:formatCode>
                <c:ptCount val="7"/>
                <c:pt idx="0">
                  <c:v>-9.2359751769049279</c:v>
                </c:pt>
                <c:pt idx="1">
                  <c:v>-8.3203719665429006</c:v>
                </c:pt>
                <c:pt idx="2">
                  <c:v>-7.9401345369656395</c:v>
                </c:pt>
                <c:pt idx="3">
                  <c:v>-7.894184646773784</c:v>
                </c:pt>
                <c:pt idx="4">
                  <c:v>-7.8388575828171874</c:v>
                </c:pt>
                <c:pt idx="5">
                  <c:v>-7.6072513575842438</c:v>
                </c:pt>
                <c:pt idx="6">
                  <c:v>-7.2268159975419151</c:v>
                </c:pt>
              </c:numCache>
            </c:numRef>
          </c:yVal>
        </c:ser>
        <c:axId val="311460992"/>
        <c:axId val="311462912"/>
      </c:scatterChart>
      <c:valAx>
        <c:axId val="311460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11462912"/>
        <c:crosses val="autoZero"/>
        <c:crossBetween val="midCat"/>
      </c:valAx>
      <c:valAx>
        <c:axId val="3114629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706"/>
            </c:manualLayout>
          </c:layout>
        </c:title>
        <c:numFmt formatCode="General" sourceLinked="1"/>
        <c:tickLblPos val="nextTo"/>
        <c:crossAx val="311460992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Fe3O4 390C N2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894625447268419"/>
          <c:y val="0.13931263950184691"/>
          <c:w val="0.80101774278214477"/>
          <c:h val="0.7442518701515724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70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'Fe3O4 390C N2'!$C$15:$C$17</c:f>
              <c:numCache>
                <c:formatCode>General</c:formatCode>
                <c:ptCount val="3"/>
                <c:pt idx="0">
                  <c:v>1.4641288433382138E-3</c:v>
                </c:pt>
                <c:pt idx="1">
                  <c:v>1.4326647564469914E-3</c:v>
                </c:pt>
                <c:pt idx="2">
                  <c:v>1.3831258644536654E-3</c:v>
                </c:pt>
              </c:numCache>
            </c:numRef>
          </c:xVal>
          <c:yVal>
            <c:numRef>
              <c:f>'Fe3O4 390C N2'!$I$15:$I$17</c:f>
              <c:numCache>
                <c:formatCode>General</c:formatCode>
                <c:ptCount val="3"/>
                <c:pt idx="0">
                  <c:v>-6.1499436955102107</c:v>
                </c:pt>
                <c:pt idx="1">
                  <c:v>-5.9241871299054685</c:v>
                </c:pt>
                <c:pt idx="2">
                  <c:v>-5.859518137112679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90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'Fe3O4 390C N2'!$C$11:$C$15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'Fe3O4 390C N2'!$I$11:$I$14</c:f>
              <c:numCache>
                <c:formatCode>General</c:formatCode>
                <c:ptCount val="4"/>
                <c:pt idx="0">
                  <c:v>-7.9062329852899582</c:v>
                </c:pt>
                <c:pt idx="1">
                  <c:v>-7.1657396841328138</c:v>
                </c:pt>
                <c:pt idx="2">
                  <c:v>-6.7068159974998824</c:v>
                </c:pt>
                <c:pt idx="3">
                  <c:v>-6.3065393643305354</c:v>
                </c:pt>
              </c:numCache>
            </c:numRef>
          </c:yVal>
        </c:ser>
        <c:axId val="311493760"/>
        <c:axId val="311495680"/>
      </c:scatterChart>
      <c:valAx>
        <c:axId val="311493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11495680"/>
        <c:crosses val="autoZero"/>
        <c:crossBetween val="midCat"/>
      </c:valAx>
      <c:valAx>
        <c:axId val="311495680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94"/>
            </c:manualLayout>
          </c:layout>
        </c:title>
        <c:numFmt formatCode="General" sourceLinked="1"/>
        <c:tickLblPos val="nextTo"/>
        <c:crossAx val="311493760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96230971128694"/>
          <c:y val="5.1400554097404488E-2"/>
          <c:w val="0.80101774278214477"/>
          <c:h val="0.827279819189268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'Fe3O4 390C N2'!$N$10:$N$15</c:f>
              <c:numCache>
                <c:formatCode>General</c:formatCode>
                <c:ptCount val="6"/>
              </c:numCache>
            </c:numRef>
          </c:xVal>
          <c:yVal>
            <c:numRef>
              <c:f>'33% Fe3O4 SiO2 (0.14g)'!#REF!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055411486737844"/>
                  <c:y val="-0.34544464459044338"/>
                </c:manualLayout>
              </c:layout>
              <c:numFmt formatCode="General" sourceLinked="0"/>
            </c:trendlineLbl>
          </c:trendline>
          <c:xVal>
            <c:numRef>
              <c:f>'Fe3O4 390C N2'!$C$11:$C$15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'Fe3O4 390C N2'!$I$11:$I$15</c:f>
              <c:numCache>
                <c:formatCode>General</c:formatCode>
                <c:ptCount val="5"/>
                <c:pt idx="0">
                  <c:v>-7.9062329852899582</c:v>
                </c:pt>
                <c:pt idx="1">
                  <c:v>-7.1657396841328138</c:v>
                </c:pt>
                <c:pt idx="2">
                  <c:v>-6.7068159974998824</c:v>
                </c:pt>
                <c:pt idx="3">
                  <c:v>-6.3065393643305354</c:v>
                </c:pt>
                <c:pt idx="4">
                  <c:v>-6.1499436955102107</c:v>
                </c:pt>
              </c:numCache>
            </c:numRef>
          </c:yVal>
        </c:ser>
        <c:axId val="311509376"/>
        <c:axId val="311511296"/>
      </c:scatterChart>
      <c:valAx>
        <c:axId val="311509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11511296"/>
        <c:crosses val="autoZero"/>
        <c:crossBetween val="midCat"/>
      </c:valAx>
      <c:valAx>
        <c:axId val="311511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94"/>
            </c:manualLayout>
          </c:layout>
        </c:title>
        <c:numFmt formatCode="General" sourceLinked="1"/>
        <c:tickLblPos val="nextTo"/>
        <c:crossAx val="311509376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Fe3O4 450C N2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894625447268427"/>
          <c:y val="0.13931263950184691"/>
          <c:w val="0.80101774278214455"/>
          <c:h val="0.7442518701515730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7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'Fe3O4 450C N2'!$C$14:$C$16</c:f>
              <c:numCache>
                <c:formatCode>General</c:formatCode>
                <c:ptCount val="3"/>
                <c:pt idx="0">
                  <c:v>1.4858841010401188E-3</c:v>
                </c:pt>
                <c:pt idx="1">
                  <c:v>1.4641288433382138E-3</c:v>
                </c:pt>
                <c:pt idx="2">
                  <c:v>1.4326647564469914E-3</c:v>
                </c:pt>
              </c:numCache>
            </c:numRef>
          </c:xVal>
          <c:yVal>
            <c:numRef>
              <c:f>'Fe3O4 450C N2'!$I$14:$I$16</c:f>
              <c:numCache>
                <c:formatCode>General</c:formatCode>
                <c:ptCount val="3"/>
                <c:pt idx="0">
                  <c:v>-6.681566685012041</c:v>
                </c:pt>
                <c:pt idx="1">
                  <c:v>-6.4308460809766128</c:v>
                </c:pt>
                <c:pt idx="2">
                  <c:v>-6.0964550105592243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92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'Fe3O4 450C N2'!$C$11:$C$13</c:f>
              <c:numCache>
                <c:formatCode>General</c:formatCode>
                <c:ptCount val="3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</c:numCache>
            </c:numRef>
          </c:xVal>
          <c:yVal>
            <c:numRef>
              <c:f>'Fe3O4 450C N2'!$I$11:$I$13</c:f>
              <c:numCache>
                <c:formatCode>General</c:formatCode>
                <c:ptCount val="3"/>
                <c:pt idx="0">
                  <c:v>-8.8022755563341661</c:v>
                </c:pt>
                <c:pt idx="1">
                  <c:v>-7.4728776231999614</c:v>
                </c:pt>
                <c:pt idx="2">
                  <c:v>-7.2611943830500429</c:v>
                </c:pt>
              </c:numCache>
            </c:numRef>
          </c:yVal>
        </c:ser>
        <c:axId val="311796096"/>
        <c:axId val="311798016"/>
      </c:scatterChart>
      <c:valAx>
        <c:axId val="311796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11798016"/>
        <c:crosses val="autoZero"/>
        <c:crossBetween val="midCat"/>
      </c:valAx>
      <c:valAx>
        <c:axId val="311798016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7027"/>
            </c:manualLayout>
          </c:layout>
        </c:title>
        <c:numFmt formatCode="General" sourceLinked="1"/>
        <c:tickLblPos val="nextTo"/>
        <c:crossAx val="311796096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96230971128694"/>
          <c:y val="5.1400554097404488E-2"/>
          <c:w val="0.80101774278214455"/>
          <c:h val="0.827279819189268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'Fe3O4 450C N2'!$N$10:$N$15</c:f>
              <c:numCache>
                <c:formatCode>General</c:formatCode>
                <c:ptCount val="6"/>
              </c:numCache>
            </c:numRef>
          </c:xVal>
          <c:yVal>
            <c:numRef>
              <c:f>'33% Fe3O4 SiO2 (0.14g)'!#REF!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055411486737844"/>
                  <c:y val="-0.34544464459044338"/>
                </c:manualLayout>
              </c:layout>
              <c:numFmt formatCode="General" sourceLinked="0"/>
            </c:trendlineLbl>
          </c:trendline>
          <c:xVal>
            <c:numRef>
              <c:f>'Fe3O4 450C N2'!$C$10:$C$12</c:f>
              <c:numCache>
                <c:formatCode>General</c:formatCode>
                <c:ptCount val="3"/>
                <c:pt idx="0">
                  <c:v>1.6722408026755853E-3</c:v>
                </c:pt>
                <c:pt idx="1">
                  <c:v>1.6051364365971107E-3</c:v>
                </c:pt>
                <c:pt idx="2">
                  <c:v>1.5432098765432098E-3</c:v>
                </c:pt>
              </c:numCache>
            </c:numRef>
          </c:xVal>
          <c:yVal>
            <c:numRef>
              <c:f>'Fe3O4 450C N2'!$I$10:$I$12</c:f>
              <c:numCache>
                <c:formatCode>General</c:formatCode>
                <c:ptCount val="3"/>
                <c:pt idx="0">
                  <c:v>-10.409488773746155</c:v>
                </c:pt>
                <c:pt idx="1">
                  <c:v>-8.8022755563341661</c:v>
                </c:pt>
                <c:pt idx="2">
                  <c:v>-7.4728776231999614</c:v>
                </c:pt>
              </c:numCache>
            </c:numRef>
          </c:yVal>
        </c:ser>
        <c:axId val="311819648"/>
        <c:axId val="324904448"/>
      </c:scatterChart>
      <c:valAx>
        <c:axId val="311819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24904448"/>
        <c:crosses val="autoZero"/>
        <c:crossBetween val="midCat"/>
      </c:valAx>
      <c:valAx>
        <c:axId val="3249044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7027"/>
            </c:manualLayout>
          </c:layout>
        </c:title>
        <c:numFmt formatCode="General" sourceLinked="1"/>
        <c:tickLblPos val="nextTo"/>
        <c:crossAx val="311819648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558630555555556"/>
          <c:y val="0.16330722222222221"/>
          <c:w val="0.75822666666666672"/>
          <c:h val="0.81009361111111178"/>
        </c:manualLayout>
      </c:layout>
      <c:scatterChart>
        <c:scatterStyle val="lineMarker"/>
        <c:ser>
          <c:idx val="0"/>
          <c:order val="0"/>
          <c:tx>
            <c:v>6.1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'4% Fe3O4 SiO2 (1g)'!$C$11:$C$15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'4% Fe3O4 SiO2 (1g)'!$I$11:$I$15</c:f>
              <c:numCache>
                <c:formatCode>General</c:formatCode>
                <c:ptCount val="5"/>
                <c:pt idx="0">
                  <c:v>-9.0705784296010243</c:v>
                </c:pt>
                <c:pt idx="1">
                  <c:v>-8.1567060785911512</c:v>
                </c:pt>
                <c:pt idx="2">
                  <c:v>-7.7155653678622222</c:v>
                </c:pt>
                <c:pt idx="3">
                  <c:v>-7.4396343119459605</c:v>
                </c:pt>
                <c:pt idx="4">
                  <c:v>-7.220755159418208</c:v>
                </c:pt>
              </c:numCache>
            </c:numRef>
          </c:yVal>
        </c:ser>
        <c:ser>
          <c:idx val="1"/>
          <c:order val="1"/>
          <c:tx>
            <c:v>9.7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'8% Fe3O4 SiO2 (0.5g)'!$C$11:$C$15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'8% Fe3O4 SiO2 (0.5g)'!$I$11:$I$15</c:f>
              <c:numCache>
                <c:formatCode>General</c:formatCode>
                <c:ptCount val="5"/>
                <c:pt idx="0">
                  <c:v>-9.4755764405221807</c:v>
                </c:pt>
                <c:pt idx="1">
                  <c:v>-8.536547644557432</c:v>
                </c:pt>
                <c:pt idx="2">
                  <c:v>-8.0454950526234654</c:v>
                </c:pt>
                <c:pt idx="3">
                  <c:v>-7.773080452302473</c:v>
                </c:pt>
                <c:pt idx="4">
                  <c:v>-7.506846923258176</c:v>
                </c:pt>
              </c:numCache>
            </c:numRef>
          </c:yVal>
        </c:ser>
        <c:ser>
          <c:idx val="2"/>
          <c:order val="2"/>
          <c:tx>
            <c:v>16.6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'14% Fe3O4 SiO2 (0.5g)'!$C$11:$C$15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'14% Fe3O4 SiO2 (0.5g)'!$I$11:$I$15</c:f>
              <c:numCache>
                <c:formatCode>General</c:formatCode>
                <c:ptCount val="5"/>
                <c:pt idx="0">
                  <c:v>-9.3486168130608913</c:v>
                </c:pt>
                <c:pt idx="1">
                  <c:v>-8.2085673345286096</c:v>
                </c:pt>
                <c:pt idx="2">
                  <c:v>-7.6794596659251697</c:v>
                </c:pt>
                <c:pt idx="3">
                  <c:v>-7.3474833732423841</c:v>
                </c:pt>
                <c:pt idx="4">
                  <c:v>-7.1191539848958092</c:v>
                </c:pt>
              </c:numCache>
            </c:numRef>
          </c:yVal>
        </c:ser>
        <c:ser>
          <c:idx val="3"/>
          <c:order val="3"/>
          <c:tx>
            <c:v>18.3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'28% Fe3O4 SiO2 (0.23g)'!$C$11:$C$15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'28% Fe3O4 SiO2 (0.23g)'!$I$11:$I$15</c:f>
              <c:numCache>
                <c:formatCode>General</c:formatCode>
                <c:ptCount val="5"/>
                <c:pt idx="0">
                  <c:v>-9.8723458416627903</c:v>
                </c:pt>
                <c:pt idx="1">
                  <c:v>-8.6612555695679916</c:v>
                </c:pt>
                <c:pt idx="2">
                  <c:v>-8.1878727432857765</c:v>
                </c:pt>
                <c:pt idx="3">
                  <c:v>-7.903207264373421</c:v>
                </c:pt>
                <c:pt idx="4">
                  <c:v>-7.66507092847307</c:v>
                </c:pt>
              </c:numCache>
            </c:numRef>
          </c:yVal>
        </c:ser>
        <c:ser>
          <c:idx val="4"/>
          <c:order val="4"/>
          <c:tx>
            <c:v>27.8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'36% Fe3O4 SiO2 (0.14g)'!$C$11:$C$15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'36% Fe3O4 SiO2 (0.14g)'!$I$11:$I$15</c:f>
              <c:numCache>
                <c:formatCode>General</c:formatCode>
                <c:ptCount val="5"/>
                <c:pt idx="0">
                  <c:v>-10.90196525884395</c:v>
                </c:pt>
                <c:pt idx="1">
                  <c:v>-9.414866198602093</c:v>
                </c:pt>
                <c:pt idx="2">
                  <c:v>-8.9321018687661429</c:v>
                </c:pt>
                <c:pt idx="3">
                  <c:v>-8.7334311739706578</c:v>
                </c:pt>
                <c:pt idx="4">
                  <c:v>-8.4110162945999853</c:v>
                </c:pt>
              </c:numCache>
            </c:numRef>
          </c:yVal>
        </c:ser>
        <c:ser>
          <c:idx val="5"/>
          <c:order val="5"/>
          <c:tx>
            <c:v>38.9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" lastClr="FFFFFF">
                  <a:lumMod val="65000"/>
                </a:sys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'56% Fe3O4 SiO2 (0.1g)'!$C$11:$C$15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'56% Fe3O4 SiO2 (0.1g)'!$I$11:$I$15</c:f>
              <c:numCache>
                <c:formatCode>General</c:formatCode>
                <c:ptCount val="5"/>
                <c:pt idx="0">
                  <c:v>-10.290883031338307</c:v>
                </c:pt>
                <c:pt idx="1">
                  <c:v>-9.4328348921449088</c:v>
                </c:pt>
                <c:pt idx="2">
                  <c:v>-9.1514487481499422</c:v>
                </c:pt>
                <c:pt idx="3">
                  <c:v>-9.0250479812755877</c:v>
                </c:pt>
                <c:pt idx="4">
                  <c:v>-8.8097271556425856</c:v>
                </c:pt>
              </c:numCache>
            </c:numRef>
          </c:yVal>
        </c:ser>
        <c:ser>
          <c:idx val="6"/>
          <c:order val="6"/>
          <c:tx>
            <c:v>44.7 nm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'63% Fe3O4 SiO2 (0.1g)'!$C$11:$C$15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'63% Fe3O4 SiO2 (0.1g)'!$I$11:$I$15</c:f>
              <c:numCache>
                <c:formatCode>General</c:formatCode>
                <c:ptCount val="5"/>
                <c:pt idx="0">
                  <c:v>-11.443562541276693</c:v>
                </c:pt>
                <c:pt idx="1">
                  <c:v>-9.9418026426407824</c:v>
                </c:pt>
                <c:pt idx="2">
                  <c:v>-9.6979924545180136</c:v>
                </c:pt>
                <c:pt idx="3">
                  <c:v>-9.4349291337480246</c:v>
                </c:pt>
                <c:pt idx="4">
                  <c:v>-9.1011559540959759</c:v>
                </c:pt>
              </c:numCache>
            </c:numRef>
          </c:yVal>
        </c:ser>
        <c:axId val="299018112"/>
        <c:axId val="299179392"/>
      </c:scatterChart>
      <c:valAx>
        <c:axId val="299018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1/T</a:t>
                </a:r>
                <a:r>
                  <a:rPr lang="en-GB" baseline="0"/>
                  <a:t> (K)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612716666666668"/>
              <c:y val="1.7373055555555551E-2"/>
            </c:manualLayout>
          </c:layout>
        </c:title>
        <c:numFmt formatCode="0.0000" sourceLinked="0"/>
        <c:majorTickMark val="in"/>
        <c:tickLblPos val="high"/>
        <c:spPr>
          <a:ln w="12700">
            <a:solidFill>
              <a:sysClr val="windowText" lastClr="000000"/>
            </a:solidFill>
          </a:ln>
        </c:spPr>
        <c:crossAx val="299179392"/>
        <c:crosses val="autoZero"/>
        <c:crossBetween val="midCat"/>
      </c:valAx>
      <c:valAx>
        <c:axId val="299179392"/>
        <c:scaling>
          <c:orientation val="minMax"/>
          <c:max val="-4"/>
          <c:min val="-13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ln</a:t>
                </a:r>
                <a:r>
                  <a:rPr lang="en-GB" baseline="0"/>
                  <a:t> rate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"/>
              <c:y val="0.47776944444444447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299018112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323611111111112"/>
          <c:y val="0.17641944444444455"/>
          <c:w val="0.27309722222222221"/>
          <c:h val="0.33348361111111136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Fe3O4 600C N2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894625447268408"/>
          <c:y val="0.13931263950184691"/>
          <c:w val="0.80101774278214499"/>
          <c:h val="0.7442518701515720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7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'Fe3O4 600C N2'!$C$15:$C$17</c:f>
              <c:numCache>
                <c:formatCode>General</c:formatCode>
                <c:ptCount val="3"/>
                <c:pt idx="0">
                  <c:v>1.4641288433382138E-3</c:v>
                </c:pt>
                <c:pt idx="1">
                  <c:v>1.4326647564469914E-3</c:v>
                </c:pt>
                <c:pt idx="2">
                  <c:v>1.3831258644536654E-3</c:v>
                </c:pt>
              </c:numCache>
            </c:numRef>
          </c:xVal>
          <c:yVal>
            <c:numRef>
              <c:f>'Fe3O4 600C N2'!$I$15:$I$17</c:f>
              <c:numCache>
                <c:formatCode>General</c:formatCode>
                <c:ptCount val="3"/>
                <c:pt idx="0">
                  <c:v>-7.1288560707022599</c:v>
                </c:pt>
                <c:pt idx="1">
                  <c:v>-6.3696916578232825</c:v>
                </c:pt>
                <c:pt idx="2">
                  <c:v>-5.9712043364221792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89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'Fe3O4 600C N2'!$C$11:$C$15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'Fe3O4 600C N2'!$I$11:$I$14</c:f>
              <c:numCache>
                <c:formatCode>General</c:formatCode>
                <c:ptCount val="4"/>
                <c:pt idx="0">
                  <c:v>-9.1461993922637994</c:v>
                </c:pt>
                <c:pt idx="1">
                  <c:v>-7.879325532370034</c:v>
                </c:pt>
                <c:pt idx="2">
                  <c:v>-7.4709149140321127</c:v>
                </c:pt>
                <c:pt idx="3">
                  <c:v>-7.4572827652420548</c:v>
                </c:pt>
              </c:numCache>
            </c:numRef>
          </c:yVal>
        </c:ser>
        <c:axId val="364264832"/>
        <c:axId val="364303872"/>
      </c:scatterChart>
      <c:valAx>
        <c:axId val="364264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64303872"/>
        <c:crosses val="autoZero"/>
        <c:crossBetween val="midCat"/>
      </c:valAx>
      <c:valAx>
        <c:axId val="364303872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6"/>
            </c:manualLayout>
          </c:layout>
        </c:title>
        <c:numFmt formatCode="General" sourceLinked="1"/>
        <c:tickLblPos val="nextTo"/>
        <c:crossAx val="364264832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96230971128694"/>
          <c:y val="5.1400554097404488E-2"/>
          <c:w val="0.80101774278214499"/>
          <c:h val="0.827279819189268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'Fe3O4 600C N2'!$N$10:$N$15</c:f>
              <c:numCache>
                <c:formatCode>General</c:formatCode>
                <c:ptCount val="6"/>
              </c:numCache>
            </c:numRef>
          </c:xVal>
          <c:yVal>
            <c:numRef>
              <c:f>'33% Fe3O4 SiO2 (0.14g)'!#REF!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055411486737844"/>
                  <c:y val="-0.34544464459044338"/>
                </c:manualLayout>
              </c:layout>
              <c:numFmt formatCode="General" sourceLinked="0"/>
            </c:trendlineLbl>
          </c:trendline>
          <c:xVal>
            <c:numRef>
              <c:f>'Fe3O4 600C N2'!$C$12:$C$15</c:f>
              <c:numCache>
                <c:formatCode>General</c:formatCode>
                <c:ptCount val="4"/>
                <c:pt idx="0">
                  <c:v>1.5432098765432098E-3</c:v>
                </c:pt>
                <c:pt idx="1">
                  <c:v>1.5082956259426848E-3</c:v>
                </c:pt>
                <c:pt idx="2">
                  <c:v>1.4858841010401188E-3</c:v>
                </c:pt>
                <c:pt idx="3">
                  <c:v>1.4641288433382138E-3</c:v>
                </c:pt>
              </c:numCache>
            </c:numRef>
          </c:xVal>
          <c:yVal>
            <c:numRef>
              <c:f>'Fe3O4 600C N2'!$I$12:$I$15</c:f>
              <c:numCache>
                <c:formatCode>General</c:formatCode>
                <c:ptCount val="4"/>
                <c:pt idx="0">
                  <c:v>-7.879325532370034</c:v>
                </c:pt>
                <c:pt idx="1">
                  <c:v>-7.4709149140321127</c:v>
                </c:pt>
                <c:pt idx="2">
                  <c:v>-7.4572827652420548</c:v>
                </c:pt>
                <c:pt idx="3">
                  <c:v>-7.1288560707022599</c:v>
                </c:pt>
              </c:numCache>
            </c:numRef>
          </c:yVal>
        </c:ser>
        <c:axId val="364387328"/>
        <c:axId val="364389504"/>
      </c:scatterChart>
      <c:valAx>
        <c:axId val="364387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64389504"/>
        <c:crosses val="autoZero"/>
        <c:crossBetween val="midCat"/>
      </c:valAx>
      <c:valAx>
        <c:axId val="364389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6"/>
            </c:manualLayout>
          </c:layout>
        </c:title>
        <c:numFmt formatCode="General" sourceLinked="1"/>
        <c:tickLblPos val="nextTo"/>
        <c:crossAx val="364387328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Fe3O4 600C N2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894625447268419"/>
          <c:y val="0.13931263950184691"/>
          <c:w val="0.80101774278214477"/>
          <c:h val="0.7442518701515724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70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'Fe3O4 500C N2 (2hrs)'!$C$15:$C$17</c:f>
              <c:numCache>
                <c:formatCode>General</c:formatCode>
                <c:ptCount val="3"/>
                <c:pt idx="0">
                  <c:v>1.4641288433382138E-3</c:v>
                </c:pt>
                <c:pt idx="1">
                  <c:v>1.4326647564469914E-3</c:v>
                </c:pt>
                <c:pt idx="2">
                  <c:v>1.3831258644536654E-3</c:v>
                </c:pt>
              </c:numCache>
            </c:numRef>
          </c:xVal>
          <c:yVal>
            <c:numRef>
              <c:f>'Fe3O4 500C N2 (2hrs)'!$I$15:$I$17</c:f>
              <c:numCache>
                <c:formatCode>General</c:formatCode>
                <c:ptCount val="3"/>
                <c:pt idx="0">
                  <c:v>-7.3845573454999016</c:v>
                </c:pt>
                <c:pt idx="1">
                  <c:v>-7.1883931921396416</c:v>
                </c:pt>
                <c:pt idx="2">
                  <c:v>-6.3174617096644168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90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'Fe3O4 500C N2 (2hrs)'!$C$11:$C$13</c:f>
              <c:numCache>
                <c:formatCode>General</c:formatCode>
                <c:ptCount val="3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</c:numCache>
            </c:numRef>
          </c:xVal>
          <c:yVal>
            <c:numRef>
              <c:f>'Fe3O4 500C N2 (2hrs)'!$I$11:$I$13</c:f>
              <c:numCache>
                <c:formatCode>General</c:formatCode>
                <c:ptCount val="3"/>
                <c:pt idx="0">
                  <c:v>-9.6193493271989006</c:v>
                </c:pt>
                <c:pt idx="1">
                  <c:v>-8.1147118631999202</c:v>
                </c:pt>
                <c:pt idx="2">
                  <c:v>-7.783747220106668</c:v>
                </c:pt>
              </c:numCache>
            </c:numRef>
          </c:yVal>
        </c:ser>
        <c:axId val="366840832"/>
        <c:axId val="368125056"/>
      </c:scatterChart>
      <c:valAx>
        <c:axId val="366840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68125056"/>
        <c:crosses val="autoZero"/>
        <c:crossBetween val="midCat"/>
      </c:valAx>
      <c:valAx>
        <c:axId val="368125056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94"/>
            </c:manualLayout>
          </c:layout>
        </c:title>
        <c:numFmt formatCode="General" sourceLinked="1"/>
        <c:tickLblPos val="nextTo"/>
        <c:crossAx val="366840832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96230971128694"/>
          <c:y val="5.1400554097404488E-2"/>
          <c:w val="0.80101774278214477"/>
          <c:h val="0.827279819189268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'Fe3O4 500C N2 (2hrs)'!$N$10:$N$15</c:f>
              <c:numCache>
                <c:formatCode>General</c:formatCode>
                <c:ptCount val="6"/>
              </c:numCache>
            </c:numRef>
          </c:xVal>
          <c:yVal>
            <c:numRef>
              <c:f>'33% Fe3O4 SiO2 (0.14g)'!#REF!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055411486737844"/>
                  <c:y val="-0.34544464459044338"/>
                </c:manualLayout>
              </c:layout>
              <c:numFmt formatCode="General" sourceLinked="0"/>
            </c:trendlineLbl>
          </c:trendline>
          <c:xVal>
            <c:numRef>
              <c:f>'Fe3O4 500C N2 (2hrs)'!$C$12:$C$16</c:f>
              <c:numCache>
                <c:formatCode>General</c:formatCode>
                <c:ptCount val="5"/>
                <c:pt idx="0">
                  <c:v>1.5432098765432098E-3</c:v>
                </c:pt>
                <c:pt idx="1">
                  <c:v>1.5082956259426848E-3</c:v>
                </c:pt>
                <c:pt idx="2">
                  <c:v>1.4858841010401188E-3</c:v>
                </c:pt>
                <c:pt idx="3">
                  <c:v>1.4641288433382138E-3</c:v>
                </c:pt>
                <c:pt idx="4">
                  <c:v>1.4326647564469914E-3</c:v>
                </c:pt>
              </c:numCache>
            </c:numRef>
          </c:xVal>
          <c:yVal>
            <c:numRef>
              <c:f>'Fe3O4 500C N2 (2hrs)'!$I$12:$I$16</c:f>
              <c:numCache>
                <c:formatCode>General</c:formatCode>
                <c:ptCount val="5"/>
                <c:pt idx="0">
                  <c:v>-8.1147118631999202</c:v>
                </c:pt>
                <c:pt idx="1">
                  <c:v>-7.783747220106668</c:v>
                </c:pt>
                <c:pt idx="2">
                  <c:v>-7.6392175496467365</c:v>
                </c:pt>
                <c:pt idx="3">
                  <c:v>-7.3845573454999016</c:v>
                </c:pt>
                <c:pt idx="4">
                  <c:v>-7.1883931921396416</c:v>
                </c:pt>
              </c:numCache>
            </c:numRef>
          </c:yVal>
        </c:ser>
        <c:axId val="368503040"/>
        <c:axId val="368574848"/>
      </c:scatterChart>
      <c:valAx>
        <c:axId val="368503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68574848"/>
        <c:crosses val="autoZero"/>
        <c:crossBetween val="midCat"/>
      </c:valAx>
      <c:valAx>
        <c:axId val="3685748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94"/>
            </c:manualLayout>
          </c:layout>
        </c:title>
        <c:numFmt formatCode="General" sourceLinked="1"/>
        <c:tickLblPos val="nextTo"/>
        <c:crossAx val="368503040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5586305555555566"/>
          <c:y val="0.16330722222222221"/>
          <c:w val="0.75822666666666672"/>
          <c:h val="0.810093611111112"/>
        </c:manualLayout>
      </c:layout>
      <c:scatterChart>
        <c:scatterStyle val="lineMarker"/>
        <c:ser>
          <c:idx val="0"/>
          <c:order val="0"/>
          <c:tx>
            <c:v>6.1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9401506445526243"/>
                  <c:y val="-0.3986767265289045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'4% Fe3O4 SiO2 (1g)'!$C$11:$C$15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'4% Fe3O4 SiO2 (1g)'!$I$11:$I$15</c:f>
              <c:numCache>
                <c:formatCode>General</c:formatCode>
                <c:ptCount val="5"/>
                <c:pt idx="0">
                  <c:v>-9.0705784296010243</c:v>
                </c:pt>
                <c:pt idx="1">
                  <c:v>-8.1567060785911512</c:v>
                </c:pt>
                <c:pt idx="2">
                  <c:v>-7.7155653678622222</c:v>
                </c:pt>
                <c:pt idx="3">
                  <c:v>-7.4396343119459605</c:v>
                </c:pt>
                <c:pt idx="4">
                  <c:v>-7.220755159418208</c:v>
                </c:pt>
              </c:numCache>
            </c:numRef>
          </c:yVal>
        </c:ser>
        <c:ser>
          <c:idx val="1"/>
          <c:order val="1"/>
          <c:tx>
            <c:v>9.7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>
                <a:solidFill>
                  <a:srgbClr val="C0504D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8697637633371361"/>
                  <c:y val="6.624387874545617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'8% Fe3O4 SiO2 (0.5g)'!$C$11:$C$15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'8% Fe3O4 SiO2 (0.5g)'!$I$11:$I$15</c:f>
              <c:numCache>
                <c:formatCode>General</c:formatCode>
                <c:ptCount val="5"/>
                <c:pt idx="0">
                  <c:v>-9.4755764405221807</c:v>
                </c:pt>
                <c:pt idx="1">
                  <c:v>-8.536547644557432</c:v>
                </c:pt>
                <c:pt idx="2">
                  <c:v>-8.0454950526234654</c:v>
                </c:pt>
                <c:pt idx="3">
                  <c:v>-7.773080452302473</c:v>
                </c:pt>
                <c:pt idx="4">
                  <c:v>-7.506846923258176</c:v>
                </c:pt>
              </c:numCache>
            </c:numRef>
          </c:yVal>
        </c:ser>
        <c:ser>
          <c:idx val="2"/>
          <c:order val="2"/>
          <c:tx>
            <c:v>16.6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>
                <a:solidFill>
                  <a:srgbClr val="4F81BD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7.31098004864454E-2"/>
                  <c:y val="-0.2303139724733542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'14% Fe3O4 SiO2 (0.5g)'!$C$12:$C$15</c:f>
              <c:numCache>
                <c:formatCode>General</c:formatCode>
                <c:ptCount val="4"/>
                <c:pt idx="0">
                  <c:v>1.5432098765432098E-3</c:v>
                </c:pt>
                <c:pt idx="1">
                  <c:v>1.5082956259426848E-3</c:v>
                </c:pt>
                <c:pt idx="2">
                  <c:v>1.4858841010401188E-3</c:v>
                </c:pt>
                <c:pt idx="3">
                  <c:v>1.4641288433382138E-3</c:v>
                </c:pt>
              </c:numCache>
            </c:numRef>
          </c:xVal>
          <c:yVal>
            <c:numRef>
              <c:f>'14% Fe3O4 SiO2 (0.5g)'!$I$12:$I$15</c:f>
              <c:numCache>
                <c:formatCode>General</c:formatCode>
                <c:ptCount val="4"/>
                <c:pt idx="0">
                  <c:v>-8.2085673345286096</c:v>
                </c:pt>
                <c:pt idx="1">
                  <c:v>-7.6794596659251697</c:v>
                </c:pt>
                <c:pt idx="2">
                  <c:v>-7.3474833732423841</c:v>
                </c:pt>
                <c:pt idx="3">
                  <c:v>-7.1191539848958092</c:v>
                </c:pt>
              </c:numCache>
            </c:numRef>
          </c:yVal>
        </c:ser>
        <c:ser>
          <c:idx val="3"/>
          <c:order val="3"/>
          <c:tx>
            <c:v>18.3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>
                <a:solidFill>
                  <a:srgbClr val="9BBB59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6.2551768304122318E-2"/>
                  <c:y val="0.33910530268485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>
                      <a:solidFill>
                        <a:schemeClr val="accent3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'28% Fe3O4 SiO2 (0.23g)'!$C$12:$C$16</c:f>
              <c:numCache>
                <c:formatCode>General</c:formatCode>
                <c:ptCount val="5"/>
                <c:pt idx="0">
                  <c:v>1.5432098765432098E-3</c:v>
                </c:pt>
                <c:pt idx="1">
                  <c:v>1.5082956259426848E-3</c:v>
                </c:pt>
                <c:pt idx="2">
                  <c:v>1.4858841010401188E-3</c:v>
                </c:pt>
                <c:pt idx="3">
                  <c:v>1.4641288433382138E-3</c:v>
                </c:pt>
                <c:pt idx="4">
                  <c:v>1.4326647564469914E-3</c:v>
                </c:pt>
              </c:numCache>
            </c:numRef>
          </c:xVal>
          <c:yVal>
            <c:numRef>
              <c:f>'28% Fe3O4 SiO2 (0.23g)'!$I$12:$I$16</c:f>
              <c:numCache>
                <c:formatCode>General</c:formatCode>
                <c:ptCount val="5"/>
                <c:pt idx="0">
                  <c:v>-8.6612555695679916</c:v>
                </c:pt>
                <c:pt idx="1">
                  <c:v>-8.1878727432857765</c:v>
                </c:pt>
                <c:pt idx="2">
                  <c:v>-7.903207264373421</c:v>
                </c:pt>
                <c:pt idx="3">
                  <c:v>-7.66507092847307</c:v>
                </c:pt>
                <c:pt idx="4">
                  <c:v>-7.3337137925186271</c:v>
                </c:pt>
              </c:numCache>
            </c:numRef>
          </c:yVal>
        </c:ser>
        <c:ser>
          <c:idx val="4"/>
          <c:order val="4"/>
          <c:tx>
            <c:v>27.8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>
                <a:solidFill>
                  <a:srgbClr val="F79646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6.9590456425671063E-2"/>
                  <c:y val="0.1642122756568272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>
                      <a:solidFill>
                        <a:schemeClr val="accent6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'36% Fe3O4 SiO2 (0.14g)'!$C$12:$C$17</c:f>
              <c:numCache>
                <c:formatCode>General</c:formatCode>
                <c:ptCount val="6"/>
                <c:pt idx="0">
                  <c:v>1.5432098765432098E-3</c:v>
                </c:pt>
                <c:pt idx="1">
                  <c:v>1.5082956259426848E-3</c:v>
                </c:pt>
                <c:pt idx="2">
                  <c:v>1.4858841010401188E-3</c:v>
                </c:pt>
                <c:pt idx="3">
                  <c:v>1.4641288433382138E-3</c:v>
                </c:pt>
                <c:pt idx="4">
                  <c:v>1.4326647564469914E-3</c:v>
                </c:pt>
                <c:pt idx="5">
                  <c:v>1.3831258644536654E-3</c:v>
                </c:pt>
              </c:numCache>
            </c:numRef>
          </c:xVal>
          <c:yVal>
            <c:numRef>
              <c:f>'36% Fe3O4 SiO2 (0.14g)'!$I$12:$I$17</c:f>
              <c:numCache>
                <c:formatCode>General</c:formatCode>
                <c:ptCount val="6"/>
                <c:pt idx="0">
                  <c:v>-9.414866198602093</c:v>
                </c:pt>
                <c:pt idx="1">
                  <c:v>-8.9321018687661429</c:v>
                </c:pt>
                <c:pt idx="2">
                  <c:v>-8.7334311739706578</c:v>
                </c:pt>
                <c:pt idx="3">
                  <c:v>-8.4110162945999853</c:v>
                </c:pt>
                <c:pt idx="4">
                  <c:v>-7.879325532370034</c:v>
                </c:pt>
                <c:pt idx="5">
                  <c:v>-7.3405748828985731</c:v>
                </c:pt>
              </c:numCache>
            </c:numRef>
          </c:yVal>
        </c:ser>
        <c:ser>
          <c:idx val="5"/>
          <c:order val="5"/>
          <c:tx>
            <c:v>38.9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" lastClr="FFFFFF">
                  <a:lumMod val="65000"/>
                </a:sysClr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>
                <a:solidFill>
                  <a:sysClr val="window" lastClr="FFFFFF">
                    <a:lumMod val="50000"/>
                  </a:sysClr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36218123956840098"/>
                  <c:y val="0.183498258762136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'56% Fe3O4 SiO2 (0.1g)'!$C$13:$C$17</c:f>
              <c:numCache>
                <c:formatCode>General</c:formatCode>
                <c:ptCount val="5"/>
                <c:pt idx="0">
                  <c:v>1.5082956259426848E-3</c:v>
                </c:pt>
                <c:pt idx="1">
                  <c:v>1.4858841010401188E-3</c:v>
                </c:pt>
                <c:pt idx="2">
                  <c:v>1.4641288433382138E-3</c:v>
                </c:pt>
                <c:pt idx="3">
                  <c:v>1.4326647564469914E-3</c:v>
                </c:pt>
                <c:pt idx="4">
                  <c:v>1.3831258644536654E-3</c:v>
                </c:pt>
              </c:numCache>
            </c:numRef>
          </c:xVal>
          <c:yVal>
            <c:numRef>
              <c:f>'56% Fe3O4 SiO2 (0.1g)'!$I$13:$I$17</c:f>
              <c:numCache>
                <c:formatCode>General</c:formatCode>
                <c:ptCount val="5"/>
                <c:pt idx="0">
                  <c:v>-9.1514487481499422</c:v>
                </c:pt>
                <c:pt idx="1">
                  <c:v>-9.0250479812755877</c:v>
                </c:pt>
                <c:pt idx="2">
                  <c:v>-8.8097271556425856</c:v>
                </c:pt>
                <c:pt idx="3">
                  <c:v>-8.3803663422560266</c:v>
                </c:pt>
                <c:pt idx="4">
                  <c:v>-7.5268629879646456</c:v>
                </c:pt>
              </c:numCache>
            </c:numRef>
          </c:yVal>
        </c:ser>
        <c:ser>
          <c:idx val="6"/>
          <c:order val="6"/>
          <c:tx>
            <c:v>44.7 nm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>
                <a:solidFill>
                  <a:srgbClr val="8064A2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31204721352470077"/>
                  <c:y val="0.205598714922147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>
                      <a:solidFill>
                        <a:schemeClr val="accent4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'63% Fe3O4 SiO2 (0.1g)'!$C$12:$C$17</c:f>
              <c:numCache>
                <c:formatCode>General</c:formatCode>
                <c:ptCount val="6"/>
                <c:pt idx="0">
                  <c:v>1.5432098765432098E-3</c:v>
                </c:pt>
                <c:pt idx="1">
                  <c:v>1.5082956259426848E-3</c:v>
                </c:pt>
                <c:pt idx="2">
                  <c:v>1.4858841010401188E-3</c:v>
                </c:pt>
                <c:pt idx="3">
                  <c:v>1.4641288433382138E-3</c:v>
                </c:pt>
                <c:pt idx="4">
                  <c:v>1.4326647564469914E-3</c:v>
                </c:pt>
                <c:pt idx="5">
                  <c:v>1.3831258644536654E-3</c:v>
                </c:pt>
              </c:numCache>
            </c:numRef>
          </c:xVal>
          <c:yVal>
            <c:numRef>
              <c:f>'63% Fe3O4 SiO2 (0.1g)'!$I$12:$I$17</c:f>
              <c:numCache>
                <c:formatCode>General</c:formatCode>
                <c:ptCount val="6"/>
                <c:pt idx="0">
                  <c:v>-9.9418026426407824</c:v>
                </c:pt>
                <c:pt idx="1">
                  <c:v>-9.6979924545180136</c:v>
                </c:pt>
                <c:pt idx="2">
                  <c:v>-9.4349291337480246</c:v>
                </c:pt>
                <c:pt idx="3">
                  <c:v>-9.1011559540959759</c:v>
                </c:pt>
                <c:pt idx="4">
                  <c:v>-8.7081133659863692</c:v>
                </c:pt>
                <c:pt idx="5">
                  <c:v>-7.979129570257383</c:v>
                </c:pt>
              </c:numCache>
            </c:numRef>
          </c:yVal>
        </c:ser>
        <c:axId val="326347776"/>
        <c:axId val="326461312"/>
      </c:scatterChart>
      <c:valAx>
        <c:axId val="326347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1/T</a:t>
                </a:r>
                <a:r>
                  <a:rPr lang="en-GB" baseline="0"/>
                  <a:t> (K)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612716666666668"/>
              <c:y val="1.7373055555555551E-2"/>
            </c:manualLayout>
          </c:layout>
        </c:title>
        <c:numFmt formatCode="0.0000" sourceLinked="0"/>
        <c:majorTickMark val="in"/>
        <c:tickLblPos val="high"/>
        <c:spPr>
          <a:ln w="12700">
            <a:solidFill>
              <a:sysClr val="windowText" lastClr="000000"/>
            </a:solidFill>
          </a:ln>
        </c:spPr>
        <c:crossAx val="326461312"/>
        <c:crosses val="autoZero"/>
        <c:crossBetween val="midCat"/>
      </c:valAx>
      <c:valAx>
        <c:axId val="326461312"/>
        <c:scaling>
          <c:orientation val="minMax"/>
          <c:max val="-4"/>
          <c:min val="-13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ln</a:t>
                </a:r>
                <a:r>
                  <a:rPr lang="en-GB" baseline="0"/>
                  <a:t> rate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"/>
              <c:y val="0.47776944444444447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326347776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65017359788085605"/>
          <c:y val="0.17641944444444471"/>
          <c:w val="0.26615967790519784"/>
          <c:h val="0.36336148367263515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example!$H$5:$K$5</c:f>
              <c:numCache>
                <c:formatCode>General</c:formatCode>
                <c:ptCount val="4"/>
                <c:pt idx="0">
                  <c:v>1.33E-3</c:v>
                </c:pt>
                <c:pt idx="1">
                  <c:v>1.25E-3</c:v>
                </c:pt>
                <c:pt idx="2">
                  <c:v>1.1799999999999998E-3</c:v>
                </c:pt>
                <c:pt idx="3">
                  <c:v>1.1100000000000001E-3</c:v>
                </c:pt>
              </c:numCache>
            </c:numRef>
          </c:xVal>
          <c:yVal>
            <c:numRef>
              <c:f>example!$H$4:$K$4</c:f>
              <c:numCache>
                <c:formatCode>General</c:formatCode>
                <c:ptCount val="4"/>
                <c:pt idx="0">
                  <c:v>-8.6199999999999992</c:v>
                </c:pt>
                <c:pt idx="1">
                  <c:v>-5.92</c:v>
                </c:pt>
                <c:pt idx="2">
                  <c:v>-3.51</c:v>
                </c:pt>
                <c:pt idx="3">
                  <c:v>-1.35</c:v>
                </c:pt>
              </c:numCache>
            </c:numRef>
          </c:yVal>
        </c:ser>
        <c:axId val="299657088"/>
        <c:axId val="299658624"/>
      </c:scatterChart>
      <c:valAx>
        <c:axId val="299657088"/>
        <c:scaling>
          <c:orientation val="minMax"/>
        </c:scaling>
        <c:axPos val="b"/>
        <c:numFmt formatCode="General" sourceLinked="1"/>
        <c:tickLblPos val="nextTo"/>
        <c:crossAx val="299658624"/>
        <c:crosses val="autoZero"/>
        <c:crossBetween val="midCat"/>
      </c:valAx>
      <c:valAx>
        <c:axId val="299658624"/>
        <c:scaling>
          <c:orientation val="minMax"/>
          <c:min val="-10"/>
        </c:scaling>
        <c:axPos val="l"/>
        <c:majorGridlines/>
        <c:numFmt formatCode="General" sourceLinked="1"/>
        <c:tickLblPos val="nextTo"/>
        <c:crossAx val="2996570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4% Fe3O4/SiO2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173018177157835"/>
          <c:y val="0.13931253618480965"/>
          <c:w val="0.80101774278214499"/>
          <c:h val="0.7442518701515720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7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'4% Fe3O4 SiO2 (1g)'!$C$14:$C$16</c:f>
              <c:numCache>
                <c:formatCode>General</c:formatCode>
                <c:ptCount val="3"/>
                <c:pt idx="0">
                  <c:v>1.4858841010401188E-3</c:v>
                </c:pt>
                <c:pt idx="1">
                  <c:v>1.4641288433382138E-3</c:v>
                </c:pt>
                <c:pt idx="2">
                  <c:v>1.4326647564469914E-3</c:v>
                </c:pt>
              </c:numCache>
            </c:numRef>
          </c:xVal>
          <c:yVal>
            <c:numRef>
              <c:f>'4% Fe3O4 SiO2 (1g)'!$I$14:$I$16</c:f>
              <c:numCache>
                <c:formatCode>General</c:formatCode>
                <c:ptCount val="3"/>
                <c:pt idx="0">
                  <c:v>-7.4396343119459605</c:v>
                </c:pt>
                <c:pt idx="1">
                  <c:v>-7.220755159418208</c:v>
                </c:pt>
                <c:pt idx="2">
                  <c:v>-7.1068839540924733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89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'4% Fe3O4 SiO2 (1g)'!$C$11:$C$13</c:f>
              <c:numCache>
                <c:formatCode>General</c:formatCode>
                <c:ptCount val="3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</c:numCache>
            </c:numRef>
          </c:xVal>
          <c:yVal>
            <c:numRef>
              <c:f>'4% Fe3O4 SiO2 (1g)'!$I$11:$I$13</c:f>
              <c:numCache>
                <c:formatCode>General</c:formatCode>
                <c:ptCount val="3"/>
                <c:pt idx="0">
                  <c:v>-9.0705784296010243</c:v>
                </c:pt>
                <c:pt idx="1">
                  <c:v>-8.1567060785911512</c:v>
                </c:pt>
                <c:pt idx="2">
                  <c:v>-7.7155653678622222</c:v>
                </c:pt>
              </c:numCache>
            </c:numRef>
          </c:yVal>
        </c:ser>
        <c:axId val="324881408"/>
        <c:axId val="368508288"/>
      </c:scatterChart>
      <c:valAx>
        <c:axId val="324881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68508288"/>
        <c:crosses val="autoZero"/>
        <c:crossBetween val="midCat"/>
      </c:valAx>
      <c:valAx>
        <c:axId val="368508288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6"/>
            </c:manualLayout>
          </c:layout>
        </c:title>
        <c:numFmt formatCode="General" sourceLinked="1"/>
        <c:tickLblPos val="nextTo"/>
        <c:crossAx val="324881408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5586305555555555"/>
          <c:y val="0.16330722222222221"/>
          <c:w val="0.75822666666666672"/>
          <c:h val="0.81009361111111144"/>
        </c:manualLayout>
      </c:layout>
      <c:scatterChart>
        <c:scatterStyle val="lineMarker"/>
        <c:ser>
          <c:idx val="0"/>
          <c:order val="0"/>
          <c:tx>
            <c:v>6.1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'4% Fe3O4 SiO2 (1g)'!$C$11:$C$15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'4% Fe3O4 SiO2 (1g)'!$I$11:$I$15</c:f>
              <c:numCache>
                <c:formatCode>General</c:formatCode>
                <c:ptCount val="5"/>
                <c:pt idx="0">
                  <c:v>-9.0705784296010243</c:v>
                </c:pt>
                <c:pt idx="1">
                  <c:v>-8.1567060785911512</c:v>
                </c:pt>
                <c:pt idx="2">
                  <c:v>-7.7155653678622222</c:v>
                </c:pt>
                <c:pt idx="3">
                  <c:v>-7.4396343119459605</c:v>
                </c:pt>
                <c:pt idx="4">
                  <c:v>-7.220755159418208</c:v>
                </c:pt>
              </c:numCache>
            </c:numRef>
          </c:yVal>
        </c:ser>
        <c:ser>
          <c:idx val="1"/>
          <c:order val="1"/>
          <c:tx>
            <c:v>9.7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'8% Fe3O4 SiO2 (0.5g)'!$C$11:$C$15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'8% Fe3O4 SiO2 (0.5g)'!$I$11:$I$15</c:f>
              <c:numCache>
                <c:formatCode>General</c:formatCode>
                <c:ptCount val="5"/>
                <c:pt idx="0">
                  <c:v>-9.4755764405221807</c:v>
                </c:pt>
                <c:pt idx="1">
                  <c:v>-8.536547644557432</c:v>
                </c:pt>
                <c:pt idx="2">
                  <c:v>-8.0454950526234654</c:v>
                </c:pt>
                <c:pt idx="3">
                  <c:v>-7.773080452302473</c:v>
                </c:pt>
                <c:pt idx="4">
                  <c:v>-7.506846923258176</c:v>
                </c:pt>
              </c:numCache>
            </c:numRef>
          </c:yVal>
        </c:ser>
        <c:ser>
          <c:idx val="2"/>
          <c:order val="2"/>
          <c:tx>
            <c:v>16.6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'14% Fe3O4 SiO2 (0.5g)'!$C$11:$C$15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'14% Fe3O4 SiO2 (0.5g)'!$I$11:$I$15</c:f>
              <c:numCache>
                <c:formatCode>General</c:formatCode>
                <c:ptCount val="5"/>
                <c:pt idx="0">
                  <c:v>-9.3486168130608913</c:v>
                </c:pt>
                <c:pt idx="1">
                  <c:v>-8.2085673345286096</c:v>
                </c:pt>
                <c:pt idx="2">
                  <c:v>-7.6794596659251697</c:v>
                </c:pt>
                <c:pt idx="3">
                  <c:v>-7.3474833732423841</c:v>
                </c:pt>
                <c:pt idx="4">
                  <c:v>-7.1191539848958092</c:v>
                </c:pt>
              </c:numCache>
            </c:numRef>
          </c:yVal>
        </c:ser>
        <c:ser>
          <c:idx val="3"/>
          <c:order val="3"/>
          <c:tx>
            <c:v>18.3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'28% Fe3O4 SiO2 (0.23g)'!$C$11:$C$15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'28% Fe3O4 SiO2 (0.23g)'!$I$11:$I$15</c:f>
              <c:numCache>
                <c:formatCode>General</c:formatCode>
                <c:ptCount val="5"/>
                <c:pt idx="0">
                  <c:v>-9.8723458416627903</c:v>
                </c:pt>
                <c:pt idx="1">
                  <c:v>-8.6612555695679916</c:v>
                </c:pt>
                <c:pt idx="2">
                  <c:v>-8.1878727432857765</c:v>
                </c:pt>
                <c:pt idx="3">
                  <c:v>-7.903207264373421</c:v>
                </c:pt>
                <c:pt idx="4">
                  <c:v>-7.66507092847307</c:v>
                </c:pt>
              </c:numCache>
            </c:numRef>
          </c:yVal>
        </c:ser>
        <c:ser>
          <c:idx val="4"/>
          <c:order val="4"/>
          <c:tx>
            <c:v>27.8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'36% Fe3O4 SiO2 (0.14g)'!$C$11:$C$15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'36% Fe3O4 SiO2 (0.14g)'!$I$11:$I$15</c:f>
              <c:numCache>
                <c:formatCode>General</c:formatCode>
                <c:ptCount val="5"/>
                <c:pt idx="0">
                  <c:v>-10.90196525884395</c:v>
                </c:pt>
                <c:pt idx="1">
                  <c:v>-9.414866198602093</c:v>
                </c:pt>
                <c:pt idx="2">
                  <c:v>-8.9321018687661429</c:v>
                </c:pt>
                <c:pt idx="3">
                  <c:v>-8.7334311739706578</c:v>
                </c:pt>
                <c:pt idx="4">
                  <c:v>-8.4110162945999853</c:v>
                </c:pt>
              </c:numCache>
            </c:numRef>
          </c:yVal>
        </c:ser>
        <c:ser>
          <c:idx val="5"/>
          <c:order val="5"/>
          <c:tx>
            <c:v>38.9 nm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" lastClr="FFFFFF">
                  <a:lumMod val="65000"/>
                </a:sys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'56% Fe3O4 SiO2 (0.1g)'!$C$11:$C$15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'56% Fe3O4 SiO2 (0.1g)'!$I$11:$I$15</c:f>
              <c:numCache>
                <c:formatCode>General</c:formatCode>
                <c:ptCount val="5"/>
                <c:pt idx="0">
                  <c:v>-10.290883031338307</c:v>
                </c:pt>
                <c:pt idx="1">
                  <c:v>-9.4328348921449088</c:v>
                </c:pt>
                <c:pt idx="2">
                  <c:v>-9.1514487481499422</c:v>
                </c:pt>
                <c:pt idx="3">
                  <c:v>-9.0250479812755877</c:v>
                </c:pt>
                <c:pt idx="4">
                  <c:v>-8.8097271556425856</c:v>
                </c:pt>
              </c:numCache>
            </c:numRef>
          </c:yVal>
        </c:ser>
        <c:ser>
          <c:idx val="6"/>
          <c:order val="6"/>
          <c:tx>
            <c:v>44.7 nm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'63% Fe3O4 SiO2 (0.1g)'!$C$11:$C$15</c:f>
              <c:numCache>
                <c:formatCode>General</c:formatCode>
                <c:ptCount val="5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  <c:pt idx="4">
                  <c:v>1.4641288433382138E-3</c:v>
                </c:pt>
              </c:numCache>
            </c:numRef>
          </c:xVal>
          <c:yVal>
            <c:numRef>
              <c:f>'63% Fe3O4 SiO2 (0.1g)'!$I$11:$I$15</c:f>
              <c:numCache>
                <c:formatCode>General</c:formatCode>
                <c:ptCount val="5"/>
                <c:pt idx="0">
                  <c:v>-11.443562541276693</c:v>
                </c:pt>
                <c:pt idx="1">
                  <c:v>-9.9418026426407824</c:v>
                </c:pt>
                <c:pt idx="2">
                  <c:v>-9.6979924545180136</c:v>
                </c:pt>
                <c:pt idx="3">
                  <c:v>-9.4349291337480246</c:v>
                </c:pt>
                <c:pt idx="4">
                  <c:v>-9.1011559540959759</c:v>
                </c:pt>
              </c:numCache>
            </c:numRef>
          </c:yVal>
        </c:ser>
        <c:axId val="365101056"/>
        <c:axId val="365102976"/>
      </c:scatterChart>
      <c:valAx>
        <c:axId val="365101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1/T</a:t>
                </a:r>
                <a:r>
                  <a:rPr lang="en-GB" baseline="0"/>
                  <a:t> (K)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6127166666666675"/>
              <c:y val="1.7373055555555548E-2"/>
            </c:manualLayout>
          </c:layout>
        </c:title>
        <c:numFmt formatCode="0.0000" sourceLinked="0"/>
        <c:majorTickMark val="in"/>
        <c:tickLblPos val="high"/>
        <c:spPr>
          <a:ln w="12700">
            <a:solidFill>
              <a:sysClr val="windowText" lastClr="000000"/>
            </a:solidFill>
          </a:ln>
        </c:spPr>
        <c:crossAx val="365102976"/>
        <c:crosses val="autoZero"/>
        <c:crossBetween val="midCat"/>
      </c:valAx>
      <c:valAx>
        <c:axId val="365102976"/>
        <c:scaling>
          <c:orientation val="minMax"/>
          <c:max val="-4"/>
          <c:min val="-13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ln</a:t>
                </a:r>
                <a:r>
                  <a:rPr lang="en-GB" baseline="0"/>
                  <a:t> rate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"/>
              <c:y val="0.47776944444444447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365101056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323611111111112"/>
          <c:y val="0.17641944444444443"/>
          <c:w val="0.27309722222222221"/>
          <c:h val="0.33348361111111113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8% Fe3O4/SiO2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894625447268397"/>
          <c:y val="0.13931263950184691"/>
          <c:w val="0.80101774278214521"/>
          <c:h val="0.7442518701515714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11414109719352"/>
                  <c:y val="-0.1876697118533969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'8% Fe3O4 SiO2 (0.5g)'!$C$15:$C$17</c:f>
              <c:numCache>
                <c:formatCode>General</c:formatCode>
                <c:ptCount val="3"/>
                <c:pt idx="0">
                  <c:v>1.4641288433382138E-3</c:v>
                </c:pt>
                <c:pt idx="1">
                  <c:v>1.4326647564469914E-3</c:v>
                </c:pt>
                <c:pt idx="2">
                  <c:v>1.3831258644536654E-3</c:v>
                </c:pt>
              </c:numCache>
            </c:numRef>
          </c:xVal>
          <c:yVal>
            <c:numRef>
              <c:f>'8% Fe3O4 SiO2 (0.5g)'!$I$15:$I$17</c:f>
              <c:numCache>
                <c:formatCode>General</c:formatCode>
                <c:ptCount val="3"/>
                <c:pt idx="0">
                  <c:v>-7.506846923258176</c:v>
                </c:pt>
                <c:pt idx="1">
                  <c:v>-7.1513922357246722</c:v>
                </c:pt>
                <c:pt idx="2">
                  <c:v>-6.2904515989336831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478047688171877"/>
                  <c:y val="-0.2618118770436787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'8% Fe3O4 SiO2 (0.5g)'!$C$11:$C$14</c:f>
              <c:numCache>
                <c:formatCode>General</c:formatCode>
                <c:ptCount val="4"/>
                <c:pt idx="0">
                  <c:v>1.6051364365971107E-3</c:v>
                </c:pt>
                <c:pt idx="1">
                  <c:v>1.5432098765432098E-3</c:v>
                </c:pt>
                <c:pt idx="2">
                  <c:v>1.5082956259426848E-3</c:v>
                </c:pt>
                <c:pt idx="3">
                  <c:v>1.4858841010401188E-3</c:v>
                </c:pt>
              </c:numCache>
            </c:numRef>
          </c:xVal>
          <c:yVal>
            <c:numRef>
              <c:f>'8% Fe3O4 SiO2 (0.5g)'!$I$11:$I$14</c:f>
              <c:numCache>
                <c:formatCode>General</c:formatCode>
                <c:ptCount val="4"/>
                <c:pt idx="0">
                  <c:v>-9.4755764405221807</c:v>
                </c:pt>
                <c:pt idx="1">
                  <c:v>-8.536547644557432</c:v>
                </c:pt>
                <c:pt idx="2">
                  <c:v>-8.0454950526234654</c:v>
                </c:pt>
                <c:pt idx="3">
                  <c:v>-7.773080452302473</c:v>
                </c:pt>
              </c:numCache>
            </c:numRef>
          </c:yVal>
        </c:ser>
        <c:axId val="377421184"/>
        <c:axId val="377501568"/>
      </c:scatterChart>
      <c:valAx>
        <c:axId val="377421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77501568"/>
        <c:crosses val="autoZero"/>
        <c:crossBetween val="midCat"/>
      </c:valAx>
      <c:valAx>
        <c:axId val="377501568"/>
        <c:scaling>
          <c:orientation val="minMax"/>
          <c:max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32"/>
            </c:manualLayout>
          </c:layout>
        </c:title>
        <c:numFmt formatCode="General" sourceLinked="1"/>
        <c:tickLblPos val="nextTo"/>
        <c:crossAx val="377421184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96230971128694"/>
          <c:y val="5.1400554097404488E-2"/>
          <c:w val="0.80101774278214521"/>
          <c:h val="0.827279819189268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'8% Fe3O4 SiO2 (0.5g)'!$N$10:$N$15</c:f>
              <c:numCache>
                <c:formatCode>General</c:formatCode>
                <c:ptCount val="6"/>
              </c:numCache>
            </c:numRef>
          </c:xVal>
          <c:yVal>
            <c:numRef>
              <c:f>'8% Fe3O4 SiO2 (0.5g)'!$T$10:$T$15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9055411486737844"/>
                  <c:y val="-0.34544464459044338"/>
                </c:manualLayout>
              </c:layout>
              <c:numFmt formatCode="General" sourceLinked="0"/>
            </c:trendlineLbl>
          </c:trendline>
          <c:xVal>
            <c:numRef>
              <c:f>'8% Fe3O4 SiO2 (0.5g)'!$C$12:$C$15</c:f>
              <c:numCache>
                <c:formatCode>General</c:formatCode>
                <c:ptCount val="4"/>
                <c:pt idx="0">
                  <c:v>1.5432098765432098E-3</c:v>
                </c:pt>
                <c:pt idx="1">
                  <c:v>1.5082956259426848E-3</c:v>
                </c:pt>
                <c:pt idx="2">
                  <c:v>1.4858841010401188E-3</c:v>
                </c:pt>
                <c:pt idx="3">
                  <c:v>1.4641288433382138E-3</c:v>
                </c:pt>
              </c:numCache>
            </c:numRef>
          </c:xVal>
          <c:yVal>
            <c:numRef>
              <c:f>'8% Fe3O4 SiO2 (0.5g)'!$I$12:$I$15</c:f>
              <c:numCache>
                <c:formatCode>General</c:formatCode>
                <c:ptCount val="4"/>
                <c:pt idx="0">
                  <c:v>-8.536547644557432</c:v>
                </c:pt>
                <c:pt idx="1">
                  <c:v>-8.0454950526234654</c:v>
                </c:pt>
                <c:pt idx="2">
                  <c:v>-7.773080452302473</c:v>
                </c:pt>
                <c:pt idx="3">
                  <c:v>-7.506846923258176</c:v>
                </c:pt>
              </c:numCache>
            </c:numRef>
          </c:yVal>
        </c:ser>
        <c:axId val="379927552"/>
        <c:axId val="379942400"/>
      </c:scatterChart>
      <c:valAx>
        <c:axId val="379927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3479328083989532"/>
              <c:y val="0.90645815106445027"/>
            </c:manualLayout>
          </c:layout>
        </c:title>
        <c:numFmt formatCode="General" sourceLinked="1"/>
        <c:tickLblPos val="nextTo"/>
        <c:crossAx val="379942400"/>
        <c:crosses val="autoZero"/>
        <c:crossBetween val="midCat"/>
      </c:valAx>
      <c:valAx>
        <c:axId val="3799424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6932"/>
            </c:manualLayout>
          </c:layout>
        </c:title>
        <c:numFmt formatCode="General" sourceLinked="1"/>
        <c:tickLblPos val="nextTo"/>
        <c:crossAx val="379927552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24</xdr:row>
      <xdr:rowOff>66675</xdr:rowOff>
    </xdr:from>
    <xdr:to>
      <xdr:col>4</xdr:col>
      <xdr:colOff>447675</xdr:colOff>
      <xdr:row>43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209549</xdr:colOff>
      <xdr:row>2</xdr:row>
      <xdr:rowOff>114299</xdr:rowOff>
    </xdr:from>
    <xdr:to>
      <xdr:col>13</xdr:col>
      <xdr:colOff>151949</xdr:colOff>
      <xdr:row>21</xdr:row>
      <xdr:rowOff>94799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190500</xdr:colOff>
      <xdr:row>12</xdr:row>
      <xdr:rowOff>180975</xdr:rowOff>
    </xdr:from>
    <xdr:ext cx="1610826" cy="269369"/>
    <xdr:sp macro="" textlink="">
      <xdr:nvSpPr>
        <xdr:cNvPr id="5" name="TextBox 4"/>
        <xdr:cNvSpPr txBox="1"/>
      </xdr:nvSpPr>
      <xdr:spPr>
        <a:xfrm>
          <a:off x="8515350" y="2466975"/>
          <a:ext cx="1610826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200">
              <a:latin typeface="Arial" pitchFamily="34" charset="0"/>
              <a:cs typeface="Arial" pitchFamily="34" charset="0"/>
            </a:rPr>
            <a:t>E</a:t>
          </a:r>
          <a:r>
            <a:rPr lang="en-GB" sz="1200" baseline="-25000">
              <a:latin typeface="Arial" pitchFamily="34" charset="0"/>
              <a:cs typeface="Arial" pitchFamily="34" charset="0"/>
            </a:rPr>
            <a:t>a</a:t>
          </a:r>
          <a:r>
            <a:rPr lang="en-GB" sz="1200" baseline="0">
              <a:latin typeface="Arial" pitchFamily="34" charset="0"/>
              <a:cs typeface="Arial" pitchFamily="34" charset="0"/>
            </a:rPr>
            <a:t> = 107 ± 6 kJ mol</a:t>
          </a:r>
          <a:r>
            <a:rPr lang="en-GB" sz="1200" baseline="30000">
              <a:latin typeface="Arial" pitchFamily="34" charset="0"/>
              <a:cs typeface="Arial" pitchFamily="34" charset="0"/>
            </a:rPr>
            <a:t>-1</a:t>
          </a:r>
          <a:endParaRPr lang="en-GB" sz="1200" baseline="-25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14</xdr:col>
      <xdr:colOff>228600</xdr:colOff>
      <xdr:row>1</xdr:row>
      <xdr:rowOff>0</xdr:rowOff>
    </xdr:from>
    <xdr:to>
      <xdr:col>20</xdr:col>
      <xdr:colOff>179627</xdr:colOff>
      <xdr:row>19</xdr:row>
      <xdr:rowOff>136853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190500</xdr:colOff>
      <xdr:row>20</xdr:row>
      <xdr:rowOff>116456</xdr:rowOff>
    </xdr:from>
    <xdr:to>
      <xdr:col>20</xdr:col>
      <xdr:colOff>141527</xdr:colOff>
      <xdr:row>39</xdr:row>
      <xdr:rowOff>62810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</xdr:row>
      <xdr:rowOff>133350</xdr:rowOff>
    </xdr:from>
    <xdr:to>
      <xdr:col>17</xdr:col>
      <xdr:colOff>619125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</xdr:row>
      <xdr:rowOff>133350</xdr:rowOff>
    </xdr:from>
    <xdr:to>
      <xdr:col>17</xdr:col>
      <xdr:colOff>619125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</xdr:row>
      <xdr:rowOff>133350</xdr:rowOff>
    </xdr:from>
    <xdr:to>
      <xdr:col>17</xdr:col>
      <xdr:colOff>619125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</xdr:row>
      <xdr:rowOff>133350</xdr:rowOff>
    </xdr:from>
    <xdr:to>
      <xdr:col>17</xdr:col>
      <xdr:colOff>619125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</xdr:row>
      <xdr:rowOff>133350</xdr:rowOff>
    </xdr:from>
    <xdr:to>
      <xdr:col>17</xdr:col>
      <xdr:colOff>619125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</xdr:row>
      <xdr:rowOff>133350</xdr:rowOff>
    </xdr:from>
    <xdr:to>
      <xdr:col>17</xdr:col>
      <xdr:colOff>619125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</xdr:row>
      <xdr:rowOff>133350</xdr:rowOff>
    </xdr:from>
    <xdr:to>
      <xdr:col>17</xdr:col>
      <xdr:colOff>619125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12</xdr:row>
      <xdr:rowOff>142875</xdr:rowOff>
    </xdr:from>
    <xdr:to>
      <xdr:col>18</xdr:col>
      <xdr:colOff>361950</xdr:colOff>
      <xdr:row>27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2</xdr:row>
      <xdr:rowOff>114300</xdr:rowOff>
    </xdr:from>
    <xdr:to>
      <xdr:col>16</xdr:col>
      <xdr:colOff>180525</xdr:colOff>
      <xdr:row>21</xdr:row>
      <xdr:rowOff>94800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</xdr:row>
      <xdr:rowOff>133350</xdr:rowOff>
    </xdr:from>
    <xdr:to>
      <xdr:col>17</xdr:col>
      <xdr:colOff>619125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</xdr:row>
      <xdr:rowOff>133350</xdr:rowOff>
    </xdr:from>
    <xdr:to>
      <xdr:col>17</xdr:col>
      <xdr:colOff>619125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</xdr:row>
      <xdr:rowOff>133350</xdr:rowOff>
    </xdr:from>
    <xdr:to>
      <xdr:col>17</xdr:col>
      <xdr:colOff>619125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</xdr:row>
      <xdr:rowOff>133350</xdr:rowOff>
    </xdr:from>
    <xdr:to>
      <xdr:col>17</xdr:col>
      <xdr:colOff>619125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</xdr:row>
      <xdr:rowOff>133350</xdr:rowOff>
    </xdr:from>
    <xdr:to>
      <xdr:col>17</xdr:col>
      <xdr:colOff>619125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19</xdr:row>
      <xdr:rowOff>104775</xdr:rowOff>
    </xdr:from>
    <xdr:to>
      <xdr:col>6</xdr:col>
      <xdr:colOff>1000125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2</xdr:row>
      <xdr:rowOff>133350</xdr:rowOff>
    </xdr:from>
    <xdr:to>
      <xdr:col>17</xdr:col>
      <xdr:colOff>619125</xdr:colOff>
      <xdr:row>16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workbookViewId="0">
      <selection activeCell="G31" sqref="G31"/>
    </sheetView>
  </sheetViews>
  <sheetFormatPr defaultRowHeight="15"/>
  <cols>
    <col min="2" max="2" width="24.140625" customWidth="1"/>
    <col min="3" max="3" width="24" customWidth="1"/>
    <col min="4" max="4" width="21.85546875" customWidth="1"/>
  </cols>
  <sheetData>
    <row r="1" spans="2:7">
      <c r="B1" s="10" t="s">
        <v>46</v>
      </c>
      <c r="C1" s="10" t="s">
        <v>51</v>
      </c>
      <c r="D1" s="10" t="s">
        <v>52</v>
      </c>
      <c r="E1" s="16" t="s">
        <v>74</v>
      </c>
    </row>
    <row r="3" spans="2:7">
      <c r="B3" t="s">
        <v>47</v>
      </c>
      <c r="C3">
        <v>55.5</v>
      </c>
      <c r="D3">
        <v>108.9</v>
      </c>
    </row>
    <row r="5" spans="2:7">
      <c r="B5" t="s">
        <v>53</v>
      </c>
      <c r="C5">
        <v>24.9</v>
      </c>
      <c r="D5">
        <v>110.9</v>
      </c>
    </row>
    <row r="6" spans="2:7">
      <c r="B6" t="s">
        <v>56</v>
      </c>
      <c r="C6">
        <v>29.5</v>
      </c>
      <c r="D6">
        <v>116</v>
      </c>
    </row>
    <row r="7" spans="2:7">
      <c r="B7" t="s">
        <v>54</v>
      </c>
      <c r="C7">
        <v>52.2</v>
      </c>
      <c r="D7">
        <v>106.1</v>
      </c>
    </row>
    <row r="8" spans="2:7">
      <c r="B8" t="s">
        <v>55</v>
      </c>
      <c r="C8">
        <v>90.5</v>
      </c>
      <c r="D8">
        <v>70.5</v>
      </c>
    </row>
    <row r="10" spans="2:7">
      <c r="B10" t="s">
        <v>48</v>
      </c>
      <c r="C10">
        <v>49.6</v>
      </c>
      <c r="D10">
        <v>111.2</v>
      </c>
    </row>
    <row r="11" spans="2:7">
      <c r="B11" t="s">
        <v>49</v>
      </c>
      <c r="C11">
        <v>57.1</v>
      </c>
      <c r="D11">
        <v>87</v>
      </c>
    </row>
    <row r="12" spans="2:7">
      <c r="B12" t="s">
        <v>50</v>
      </c>
      <c r="C12">
        <v>67</v>
      </c>
      <c r="D12">
        <v>72.400000000000006</v>
      </c>
    </row>
    <row r="13" spans="2:7">
      <c r="E13" t="s">
        <v>62</v>
      </c>
      <c r="F13" t="s">
        <v>66</v>
      </c>
      <c r="G13" t="s">
        <v>65</v>
      </c>
    </row>
    <row r="14" spans="2:7">
      <c r="B14" s="15" t="s">
        <v>73</v>
      </c>
      <c r="C14">
        <v>6.3</v>
      </c>
      <c r="D14">
        <v>99.2</v>
      </c>
    </row>
    <row r="15" spans="2:7">
      <c r="B15" t="s">
        <v>67</v>
      </c>
      <c r="C15">
        <v>9.6999999999999993</v>
      </c>
      <c r="D15">
        <v>108.2</v>
      </c>
      <c r="E15">
        <f>SUM(D14:D20)/7</f>
        <v>106.75714285714287</v>
      </c>
      <c r="F15">
        <f>STDEV(D14:D20)</f>
        <v>6.1264065440396669</v>
      </c>
      <c r="G15">
        <f>STDEV(D14:D20)/SQRT(6)</f>
        <v>2.5010949982908173</v>
      </c>
    </row>
    <row r="16" spans="2:7">
      <c r="B16" t="s">
        <v>68</v>
      </c>
      <c r="C16">
        <v>16.600000000000001</v>
      </c>
      <c r="D16">
        <v>116.1</v>
      </c>
    </row>
    <row r="17" spans="2:4">
      <c r="B17" t="s">
        <v>69</v>
      </c>
      <c r="C17">
        <v>18.3</v>
      </c>
      <c r="D17">
        <v>99.4</v>
      </c>
    </row>
    <row r="18" spans="2:4">
      <c r="B18" t="s">
        <v>70</v>
      </c>
      <c r="C18">
        <v>27.8</v>
      </c>
      <c r="D18">
        <v>109.6</v>
      </c>
    </row>
    <row r="19" spans="2:4">
      <c r="B19" t="s">
        <v>71</v>
      </c>
      <c r="C19">
        <v>38.9</v>
      </c>
      <c r="D19">
        <v>110.2</v>
      </c>
    </row>
    <row r="20" spans="2:4">
      <c r="B20" t="s">
        <v>72</v>
      </c>
      <c r="C20">
        <v>44.7</v>
      </c>
      <c r="D20">
        <v>104.6</v>
      </c>
    </row>
    <row r="22" spans="2:4">
      <c r="C22" t="s">
        <v>62</v>
      </c>
      <c r="D22">
        <f>AVERAGE(D15:D20)</f>
        <v>108.01666666666669</v>
      </c>
    </row>
    <row r="23" spans="2:4">
      <c r="C23" t="s">
        <v>63</v>
      </c>
      <c r="D23">
        <f>STDEV(D15:D20)</f>
        <v>5.6314888499099416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C41" sqref="C41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42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-14865</v>
      </c>
      <c r="V5" s="2"/>
      <c r="W5" s="13"/>
      <c r="Y5" s="13"/>
    </row>
    <row r="6" spans="1:27">
      <c r="A6" s="2" t="s">
        <v>25</v>
      </c>
      <c r="B6" s="2" t="s">
        <v>26</v>
      </c>
      <c r="F6" s="2"/>
      <c r="R6" s="13"/>
      <c r="S6" s="13"/>
      <c r="T6" s="2" t="s">
        <v>34</v>
      </c>
      <c r="U6" s="2">
        <f>U5*-8.314</f>
        <v>123587.61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123.58761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T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>
        <v>0</v>
      </c>
      <c r="E9">
        <v>0</v>
      </c>
      <c r="F9">
        <f>(E9/50)*1000000</f>
        <v>0</v>
      </c>
      <c r="G9">
        <f>F9</f>
        <v>0</v>
      </c>
      <c r="H9">
        <f>G9/4.8</f>
        <v>0</v>
      </c>
      <c r="I9" t="e">
        <f t="shared" ref="I9:I17" si="0">LN(H9)</f>
        <v>#NUM!</v>
      </c>
      <c r="R9" s="13"/>
      <c r="S9" s="13"/>
      <c r="T9" s="2" t="s">
        <v>45</v>
      </c>
      <c r="U9" s="2"/>
      <c r="V9" s="2"/>
      <c r="W9" s="13"/>
      <c r="Y9" s="13"/>
    </row>
    <row r="10" spans="1:27">
      <c r="A10">
        <v>325</v>
      </c>
      <c r="B10">
        <f t="shared" ref="B10:B17" si="1">A10+273</f>
        <v>598</v>
      </c>
      <c r="C10">
        <f t="shared" ref="C10:C17" si="2">1/B10</f>
        <v>1.6722408026755853E-3</v>
      </c>
      <c r="D10">
        <v>2.0640090898625374</v>
      </c>
      <c r="E10">
        <v>3.4298404137749072E-9</v>
      </c>
      <c r="F10">
        <f t="shared" ref="F10:F17" si="3">(E10/50)*1000000</f>
        <v>6.8596808275498146E-5</v>
      </c>
      <c r="G10">
        <f t="shared" ref="G10:G17" si="4">F10</f>
        <v>6.8596808275498146E-5</v>
      </c>
      <c r="H10">
        <f t="shared" ref="H10:H17" si="5">G10/4.8</f>
        <v>1.4291001724062114E-5</v>
      </c>
      <c r="I10">
        <f t="shared" si="0"/>
        <v>-11.155880468824913</v>
      </c>
      <c r="R10" s="13"/>
      <c r="S10" s="13"/>
      <c r="T10" s="2" t="s">
        <v>33</v>
      </c>
      <c r="U10" s="2">
        <v>-14741</v>
      </c>
      <c r="V10" s="2"/>
      <c r="W10" s="13"/>
      <c r="Y10" s="13"/>
    </row>
    <row r="11" spans="1:27">
      <c r="A11">
        <v>350</v>
      </c>
      <c r="B11">
        <f t="shared" si="1"/>
        <v>623</v>
      </c>
      <c r="C11">
        <f t="shared" si="2"/>
        <v>1.6051364365971107E-3</v>
      </c>
      <c r="D11">
        <v>13.021882198689127</v>
      </c>
      <c r="E11">
        <v>4.3918034673258388E-8</v>
      </c>
      <c r="F11">
        <f t="shared" si="3"/>
        <v>8.7836069346516779E-4</v>
      </c>
      <c r="G11">
        <f t="shared" si="4"/>
        <v>8.7836069346516779E-4</v>
      </c>
      <c r="H11">
        <f t="shared" si="5"/>
        <v>1.8299181113857663E-4</v>
      </c>
      <c r="I11">
        <f t="shared" si="0"/>
        <v>-8.6060691540006999</v>
      </c>
      <c r="R11" s="13"/>
      <c r="T11" s="2" t="s">
        <v>34</v>
      </c>
      <c r="U11" s="2">
        <f>U10*-8.314</f>
        <v>122556.674</v>
      </c>
      <c r="V11" s="2" t="s">
        <v>18</v>
      </c>
      <c r="W11" s="13"/>
      <c r="Y11" s="13"/>
    </row>
    <row r="12" spans="1:27">
      <c r="A12">
        <v>375</v>
      </c>
      <c r="B12">
        <f t="shared" si="1"/>
        <v>648</v>
      </c>
      <c r="C12">
        <f t="shared" si="2"/>
        <v>1.5432098765432098E-3</v>
      </c>
      <c r="D12">
        <v>42.927744224861634</v>
      </c>
      <c r="E12">
        <v>1.2486762756399271E-7</v>
      </c>
      <c r="F12">
        <f t="shared" si="3"/>
        <v>2.4973525512798542E-3</v>
      </c>
      <c r="G12">
        <f t="shared" si="4"/>
        <v>2.4973525512798542E-3</v>
      </c>
      <c r="H12">
        <f t="shared" si="5"/>
        <v>5.2028178151663628E-4</v>
      </c>
      <c r="I12">
        <f t="shared" si="0"/>
        <v>-7.5611400056248383</v>
      </c>
      <c r="R12" s="13"/>
      <c r="T12" s="2"/>
      <c r="U12" s="2">
        <f>U11/1000</f>
        <v>122.556674</v>
      </c>
      <c r="V12" s="2" t="s">
        <v>19</v>
      </c>
      <c r="W12" s="13"/>
      <c r="Y12" s="13"/>
    </row>
    <row r="13" spans="1:27">
      <c r="A13">
        <v>390</v>
      </c>
      <c r="B13">
        <f t="shared" si="1"/>
        <v>663</v>
      </c>
      <c r="C13">
        <f t="shared" si="2"/>
        <v>1.5082956259426848E-3</v>
      </c>
      <c r="D13">
        <v>57.446926094056835</v>
      </c>
      <c r="E13">
        <v>1.6452515734826507E-7</v>
      </c>
      <c r="F13">
        <f t="shared" si="3"/>
        <v>3.2905031469653012E-3</v>
      </c>
      <c r="G13">
        <f t="shared" si="4"/>
        <v>3.2905031469653012E-3</v>
      </c>
      <c r="H13">
        <f t="shared" si="5"/>
        <v>6.8552148895110446E-4</v>
      </c>
      <c r="I13">
        <f t="shared" si="0"/>
        <v>-7.2853307116033417</v>
      </c>
      <c r="R13" s="13"/>
      <c r="W13" s="13"/>
      <c r="Y13" s="13"/>
    </row>
    <row r="14" spans="1:27">
      <c r="A14">
        <v>400</v>
      </c>
      <c r="B14">
        <f t="shared" si="1"/>
        <v>673</v>
      </c>
      <c r="C14">
        <f t="shared" si="2"/>
        <v>1.4858841010401188E-3</v>
      </c>
      <c r="D14">
        <v>66.532829213458868</v>
      </c>
      <c r="E14">
        <v>2.2079597663675964E-7</v>
      </c>
      <c r="F14">
        <f t="shared" si="3"/>
        <v>4.4159195327351927E-3</v>
      </c>
      <c r="G14">
        <f t="shared" si="4"/>
        <v>4.4159195327351927E-3</v>
      </c>
      <c r="H14">
        <f t="shared" si="5"/>
        <v>9.1998323598649855E-4</v>
      </c>
      <c r="I14">
        <f t="shared" si="0"/>
        <v>-6.9911551098410118</v>
      </c>
      <c r="R14" s="13"/>
      <c r="T14" s="2" t="s">
        <v>58</v>
      </c>
      <c r="U14" s="2"/>
      <c r="V14" s="2"/>
      <c r="W14" s="13"/>
      <c r="Y14" s="13"/>
    </row>
    <row r="15" spans="1:27">
      <c r="A15">
        <v>410</v>
      </c>
      <c r="B15">
        <f t="shared" si="1"/>
        <v>683</v>
      </c>
      <c r="C15">
        <f t="shared" si="2"/>
        <v>1.4641288433382138E-3</v>
      </c>
      <c r="D15">
        <v>81.805364858885895</v>
      </c>
      <c r="E15">
        <v>4.2444275120464473E-7</v>
      </c>
      <c r="F15">
        <f t="shared" si="3"/>
        <v>8.4888550240928944E-3</v>
      </c>
      <c r="G15">
        <f t="shared" si="4"/>
        <v>8.4888550240928944E-3</v>
      </c>
      <c r="H15">
        <f t="shared" si="5"/>
        <v>1.7685114633526865E-3</v>
      </c>
      <c r="I15">
        <f t="shared" si="0"/>
        <v>-6.3376170673761125</v>
      </c>
      <c r="R15" s="13"/>
      <c r="T15" s="2" t="s">
        <v>33</v>
      </c>
      <c r="U15" s="2">
        <v>-13381</v>
      </c>
      <c r="V15" s="2"/>
      <c r="W15" s="13"/>
      <c r="Y15" s="13"/>
    </row>
    <row r="16" spans="1:27">
      <c r="A16">
        <v>425</v>
      </c>
      <c r="B16">
        <f t="shared" si="1"/>
        <v>698</v>
      </c>
      <c r="C16">
        <f t="shared" si="2"/>
        <v>1.4326647564469914E-3</v>
      </c>
      <c r="D16">
        <v>91.441444523960243</v>
      </c>
      <c r="E16">
        <v>5.3886008375791712E-7</v>
      </c>
      <c r="F16">
        <f t="shared" si="3"/>
        <v>1.0777201675158343E-2</v>
      </c>
      <c r="G16">
        <f t="shared" si="4"/>
        <v>1.0777201675158343E-2</v>
      </c>
      <c r="H16">
        <f t="shared" si="5"/>
        <v>2.2452503489913214E-3</v>
      </c>
      <c r="I16">
        <f t="shared" si="0"/>
        <v>-6.0989382499778317</v>
      </c>
      <c r="R16" s="13"/>
      <c r="T16" s="2" t="s">
        <v>34</v>
      </c>
      <c r="U16" s="2">
        <f>U15*-8.314</f>
        <v>111249.63400000001</v>
      </c>
      <c r="V16" s="2" t="s">
        <v>18</v>
      </c>
      <c r="W16" s="13"/>
      <c r="Y16" s="13"/>
    </row>
    <row r="17" spans="1:22">
      <c r="A17">
        <v>450</v>
      </c>
      <c r="B17">
        <f t="shared" si="1"/>
        <v>723</v>
      </c>
      <c r="C17">
        <f t="shared" si="2"/>
        <v>1.3831258644536654E-3</v>
      </c>
      <c r="D17">
        <v>98.477312215919312</v>
      </c>
      <c r="E17">
        <v>6.9347085866011402E-7</v>
      </c>
      <c r="F17">
        <f t="shared" si="3"/>
        <v>1.3869417173202281E-2</v>
      </c>
      <c r="G17">
        <f t="shared" si="4"/>
        <v>1.3869417173202281E-2</v>
      </c>
      <c r="H17">
        <f t="shared" si="5"/>
        <v>2.8894619110838085E-3</v>
      </c>
      <c r="I17">
        <f t="shared" si="0"/>
        <v>-5.8466849841296931</v>
      </c>
      <c r="T17" s="2"/>
      <c r="U17" s="2">
        <f>U16/1000</f>
        <v>111.249634</v>
      </c>
      <c r="V17" s="2" t="s">
        <v>19</v>
      </c>
    </row>
    <row r="19" spans="1:22">
      <c r="E19" s="9"/>
      <c r="M19" s="11"/>
    </row>
    <row r="21" spans="1:22">
      <c r="H21" s="2" t="s">
        <v>39</v>
      </c>
      <c r="I21" s="2"/>
      <c r="J21" s="2"/>
    </row>
    <row r="22" spans="1:22">
      <c r="H22" s="2" t="s">
        <v>33</v>
      </c>
      <c r="I22" s="2">
        <v>-13381</v>
      </c>
      <c r="J22" s="2"/>
    </row>
    <row r="23" spans="1:22">
      <c r="H23" s="2" t="s">
        <v>34</v>
      </c>
      <c r="I23" s="2">
        <f>I22*-8.314</f>
        <v>111249.63400000001</v>
      </c>
      <c r="J23" s="2" t="s">
        <v>18</v>
      </c>
    </row>
    <row r="24" spans="1:22">
      <c r="H24" s="2"/>
      <c r="I24" s="2">
        <f>I23/1000</f>
        <v>111.249634</v>
      </c>
      <c r="J24" s="2" t="s">
        <v>19</v>
      </c>
    </row>
    <row r="26" spans="1:22">
      <c r="H26" s="12" t="s">
        <v>41</v>
      </c>
      <c r="I26" s="12"/>
      <c r="J26" s="12"/>
    </row>
    <row r="27" spans="1:22">
      <c r="H27" s="12" t="s">
        <v>33</v>
      </c>
      <c r="I27" s="12">
        <v>-5974</v>
      </c>
      <c r="J27" s="12"/>
    </row>
    <row r="28" spans="1:22">
      <c r="H28" s="12" t="s">
        <v>34</v>
      </c>
      <c r="I28" s="12">
        <f>I27*-8.314</f>
        <v>49667.836000000003</v>
      </c>
      <c r="J28" s="12" t="s">
        <v>18</v>
      </c>
    </row>
    <row r="29" spans="1:22">
      <c r="H29" s="12"/>
      <c r="I29" s="12">
        <f>I28/1000</f>
        <v>49.667836000000001</v>
      </c>
      <c r="J29" s="12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2"/>
  <sheetViews>
    <sheetView workbookViewId="0">
      <selection activeCell="Y33" sqref="Y33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43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-12253</v>
      </c>
      <c r="V5" s="2"/>
      <c r="W5" s="13"/>
      <c r="Y5" s="13"/>
    </row>
    <row r="6" spans="1:27">
      <c r="A6" s="2" t="s">
        <v>25</v>
      </c>
      <c r="B6" s="2" t="s">
        <v>26</v>
      </c>
      <c r="F6" s="2"/>
      <c r="R6" s="13"/>
      <c r="S6" s="13"/>
      <c r="T6" s="2" t="s">
        <v>34</v>
      </c>
      <c r="U6" s="2">
        <f>U5*-8.314</f>
        <v>101871.442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101.871442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T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>
        <v>0</v>
      </c>
      <c r="E9">
        <v>0</v>
      </c>
      <c r="F9">
        <f>(E9/50)*1000000</f>
        <v>0</v>
      </c>
      <c r="G9">
        <f>F9</f>
        <v>0</v>
      </c>
      <c r="H9">
        <f>G9/4.8</f>
        <v>0</v>
      </c>
      <c r="I9" t="e">
        <f t="shared" ref="I9:I17" si="0">LN(H9)</f>
        <v>#NUM!</v>
      </c>
      <c r="R9" s="13"/>
      <c r="S9" s="13"/>
      <c r="T9" s="2" t="s">
        <v>44</v>
      </c>
      <c r="U9" s="2"/>
      <c r="V9" s="2"/>
      <c r="W9" s="13"/>
      <c r="Y9" s="13"/>
    </row>
    <row r="10" spans="1:27">
      <c r="A10">
        <v>325</v>
      </c>
      <c r="B10">
        <f t="shared" ref="B10:B17" si="1">A10+273</f>
        <v>598</v>
      </c>
      <c r="C10">
        <f t="shared" ref="C10:C17" si="2">1/B10</f>
        <v>1.6722408026755853E-3</v>
      </c>
      <c r="D10">
        <v>6.2299402483002524</v>
      </c>
      <c r="E10">
        <v>2.379451787056342E-8</v>
      </c>
      <c r="F10">
        <f t="shared" ref="F10:F17" si="3">(E10/50)*1000000</f>
        <v>4.7589035741126841E-4</v>
      </c>
      <c r="G10">
        <f t="shared" ref="G10:G17" si="4">F10</f>
        <v>4.7589035741126841E-4</v>
      </c>
      <c r="H10">
        <f t="shared" ref="H10:H17" si="5">G10/4.8</f>
        <v>9.9143824460680928E-5</v>
      </c>
      <c r="I10">
        <f t="shared" si="0"/>
        <v>-9.2189389897523597</v>
      </c>
      <c r="R10" s="13"/>
      <c r="S10" s="13"/>
      <c r="T10" s="2" t="s">
        <v>33</v>
      </c>
      <c r="U10" s="2">
        <v>-15298</v>
      </c>
      <c r="V10" s="2"/>
      <c r="W10" s="13"/>
      <c r="Y10" s="13"/>
    </row>
    <row r="11" spans="1:27">
      <c r="A11">
        <v>350</v>
      </c>
      <c r="B11">
        <f t="shared" si="1"/>
        <v>623</v>
      </c>
      <c r="C11">
        <f t="shared" si="2"/>
        <v>1.6051364365971107E-3</v>
      </c>
      <c r="D11">
        <v>14.451485771553541</v>
      </c>
      <c r="E11">
        <v>5.865563020119743E-8</v>
      </c>
      <c r="F11">
        <f t="shared" si="3"/>
        <v>1.1731126040239485E-3</v>
      </c>
      <c r="G11">
        <f t="shared" si="4"/>
        <v>1.1731126040239485E-3</v>
      </c>
      <c r="H11">
        <f t="shared" si="5"/>
        <v>2.4439845917165594E-4</v>
      </c>
      <c r="I11">
        <f t="shared" si="0"/>
        <v>-8.316710635221666</v>
      </c>
      <c r="R11" s="13"/>
      <c r="T11" s="2" t="s">
        <v>34</v>
      </c>
      <c r="U11" s="2">
        <f>U10*-8.314</f>
        <v>127187.572</v>
      </c>
      <c r="V11" s="2" t="s">
        <v>18</v>
      </c>
      <c r="W11" s="13"/>
      <c r="Y11" s="13"/>
    </row>
    <row r="12" spans="1:27">
      <c r="A12">
        <v>375</v>
      </c>
      <c r="B12">
        <f t="shared" si="1"/>
        <v>648</v>
      </c>
      <c r="C12">
        <f t="shared" si="2"/>
        <v>1.5432098765432098E-3</v>
      </c>
      <c r="D12">
        <v>28.45033355439023</v>
      </c>
      <c r="E12">
        <v>1.1629302652955543E-7</v>
      </c>
      <c r="F12">
        <f t="shared" si="3"/>
        <v>2.3258605305911083E-3</v>
      </c>
      <c r="G12">
        <f t="shared" si="4"/>
        <v>2.3258605305911083E-3</v>
      </c>
      <c r="H12">
        <f t="shared" si="5"/>
        <v>4.8455427720648091E-4</v>
      </c>
      <c r="I12">
        <f t="shared" si="0"/>
        <v>-7.6322811056500797</v>
      </c>
      <c r="R12" s="13"/>
      <c r="T12" s="2"/>
      <c r="U12" s="2">
        <f>U11/1000</f>
        <v>127.187572</v>
      </c>
      <c r="V12" s="2" t="s">
        <v>19</v>
      </c>
      <c r="W12" s="13"/>
      <c r="Y12" s="13"/>
    </row>
    <row r="13" spans="1:27">
      <c r="A13">
        <v>390</v>
      </c>
      <c r="B13">
        <f t="shared" si="1"/>
        <v>663</v>
      </c>
      <c r="C13">
        <f t="shared" si="2"/>
        <v>1.5082956259426848E-3</v>
      </c>
      <c r="D13">
        <v>45.960003479589147</v>
      </c>
      <c r="E13">
        <v>1.6291741965430808E-7</v>
      </c>
      <c r="F13">
        <f t="shared" si="3"/>
        <v>3.2583483930861616E-3</v>
      </c>
      <c r="G13">
        <f t="shared" si="4"/>
        <v>3.2583483930861616E-3</v>
      </c>
      <c r="H13">
        <f t="shared" si="5"/>
        <v>6.7882258189295031E-4</v>
      </c>
      <c r="I13">
        <f t="shared" si="0"/>
        <v>-7.2951507577843167</v>
      </c>
      <c r="R13" s="13"/>
      <c r="W13" s="13"/>
      <c r="Y13" s="13"/>
    </row>
    <row r="14" spans="1:27">
      <c r="A14">
        <v>400</v>
      </c>
      <c r="B14">
        <f t="shared" si="1"/>
        <v>673</v>
      </c>
      <c r="C14">
        <f t="shared" si="2"/>
        <v>1.4858841010401188E-3</v>
      </c>
      <c r="D14">
        <v>63.180808291808887</v>
      </c>
      <c r="E14">
        <v>2.0438365434428207E-7</v>
      </c>
      <c r="F14">
        <f t="shared" si="3"/>
        <v>4.087673086885641E-3</v>
      </c>
      <c r="G14">
        <f t="shared" si="4"/>
        <v>4.087673086885641E-3</v>
      </c>
      <c r="H14">
        <f t="shared" si="5"/>
        <v>8.5159855976784196E-4</v>
      </c>
      <c r="I14">
        <f t="shared" si="0"/>
        <v>-7.0683953161537048</v>
      </c>
      <c r="R14" s="13"/>
      <c r="T14" s="2" t="s">
        <v>45</v>
      </c>
      <c r="U14" s="2"/>
      <c r="V14" s="2"/>
      <c r="W14" s="13"/>
      <c r="Y14" s="13"/>
    </row>
    <row r="15" spans="1:27">
      <c r="A15">
        <v>410</v>
      </c>
      <c r="B15">
        <f t="shared" si="1"/>
        <v>683</v>
      </c>
      <c r="C15">
        <f t="shared" si="2"/>
        <v>1.4641288433382138E-3</v>
      </c>
      <c r="D15">
        <v>85.192329900821633</v>
      </c>
      <c r="E15">
        <v>4.3891239045025767E-7</v>
      </c>
      <c r="F15">
        <f t="shared" si="3"/>
        <v>8.778247809005154E-3</v>
      </c>
      <c r="G15">
        <f t="shared" si="4"/>
        <v>8.778247809005154E-3</v>
      </c>
      <c r="H15">
        <f t="shared" si="5"/>
        <v>1.8288016268760737E-3</v>
      </c>
      <c r="I15">
        <f t="shared" si="0"/>
        <v>-6.3040943753374687</v>
      </c>
      <c r="R15" s="13"/>
      <c r="T15" s="2" t="s">
        <v>33</v>
      </c>
      <c r="U15" s="2">
        <v>-15682</v>
      </c>
      <c r="V15" s="2"/>
      <c r="W15" s="13"/>
      <c r="Y15" s="13"/>
    </row>
    <row r="16" spans="1:27">
      <c r="A16">
        <v>425</v>
      </c>
      <c r="B16">
        <f t="shared" si="1"/>
        <v>698</v>
      </c>
      <c r="C16">
        <f t="shared" si="2"/>
        <v>1.4326647564469914E-3</v>
      </c>
      <c r="D16">
        <v>89.511974359525524</v>
      </c>
      <c r="E16">
        <v>5.5842089236772697E-7</v>
      </c>
      <c r="F16">
        <f t="shared" si="3"/>
        <v>1.1168417847354539E-2</v>
      </c>
      <c r="G16">
        <f t="shared" si="4"/>
        <v>1.1168417847354539E-2</v>
      </c>
      <c r="H16">
        <f t="shared" si="5"/>
        <v>2.3267537181988623E-3</v>
      </c>
      <c r="I16">
        <f t="shared" si="0"/>
        <v>-6.0632812368772262</v>
      </c>
      <c r="R16" s="13"/>
      <c r="T16" s="2" t="s">
        <v>34</v>
      </c>
      <c r="U16" s="2">
        <f>U15*-8.314</f>
        <v>130380.148</v>
      </c>
      <c r="V16" s="2" t="s">
        <v>18</v>
      </c>
      <c r="W16" s="13"/>
      <c r="Y16" s="13"/>
    </row>
    <row r="17" spans="1:26">
      <c r="A17">
        <v>450</v>
      </c>
      <c r="B17">
        <f t="shared" si="1"/>
        <v>723</v>
      </c>
      <c r="C17">
        <f t="shared" si="2"/>
        <v>1.3831258644536654E-3</v>
      </c>
      <c r="D17">
        <v>98.502345491169535</v>
      </c>
      <c r="E17">
        <v>6.8998742698987381E-7</v>
      </c>
      <c r="F17">
        <f t="shared" si="3"/>
        <v>1.3799748539797476E-2</v>
      </c>
      <c r="G17">
        <f t="shared" si="4"/>
        <v>1.3799748539797476E-2</v>
      </c>
      <c r="H17">
        <f t="shared" si="5"/>
        <v>2.8749476124578077E-3</v>
      </c>
      <c r="I17">
        <f t="shared" si="0"/>
        <v>-5.8517208266526479</v>
      </c>
      <c r="T17" s="2"/>
      <c r="U17" s="2">
        <f>U16/1000</f>
        <v>130.38014799999999</v>
      </c>
      <c r="V17" s="2" t="s">
        <v>19</v>
      </c>
    </row>
    <row r="19" spans="1:26">
      <c r="E19" s="9"/>
      <c r="M19" s="11"/>
      <c r="T19" s="2" t="s">
        <v>42</v>
      </c>
      <c r="U19" s="2"/>
      <c r="V19" s="2"/>
    </row>
    <row r="20" spans="1:26">
      <c r="T20" s="2" t="s">
        <v>33</v>
      </c>
      <c r="U20" s="2">
        <v>-12927</v>
      </c>
      <c r="V20" s="2"/>
    </row>
    <row r="21" spans="1:26">
      <c r="H21" s="2" t="s">
        <v>39</v>
      </c>
      <c r="I21" s="2"/>
      <c r="J21" s="2"/>
      <c r="T21" s="2" t="s">
        <v>34</v>
      </c>
      <c r="U21" s="2">
        <f>U20*-8.314</f>
        <v>107475.07799999999</v>
      </c>
      <c r="V21" s="2" t="s">
        <v>18</v>
      </c>
    </row>
    <row r="22" spans="1:26">
      <c r="H22" s="2" t="s">
        <v>33</v>
      </c>
      <c r="I22" s="2">
        <v>-10460</v>
      </c>
      <c r="J22" s="2"/>
      <c r="T22" s="2"/>
      <c r="U22" s="2">
        <f>U21/1000</f>
        <v>107.475078</v>
      </c>
      <c r="V22" s="2" t="s">
        <v>19</v>
      </c>
    </row>
    <row r="23" spans="1:26">
      <c r="H23" s="2" t="s">
        <v>34</v>
      </c>
      <c r="I23" s="2">
        <f>I22*-8.314</f>
        <v>86964.44</v>
      </c>
      <c r="J23" s="2" t="s">
        <v>18</v>
      </c>
    </row>
    <row r="24" spans="1:26">
      <c r="H24" s="2"/>
      <c r="I24" s="2">
        <f>I23/1000</f>
        <v>86.964439999999996</v>
      </c>
      <c r="J24" s="2" t="s">
        <v>19</v>
      </c>
      <c r="T24" s="2" t="s">
        <v>42</v>
      </c>
      <c r="U24" s="2"/>
      <c r="V24" s="2"/>
      <c r="X24" s="2" t="s">
        <v>58</v>
      </c>
      <c r="Y24" s="2"/>
      <c r="Z24" s="2"/>
    </row>
    <row r="25" spans="1:26">
      <c r="T25" s="2" t="s">
        <v>33</v>
      </c>
      <c r="U25" s="2">
        <v>-10607</v>
      </c>
      <c r="V25" s="2"/>
      <c r="X25" s="2" t="s">
        <v>33</v>
      </c>
      <c r="Y25" s="2">
        <v>-10460</v>
      </c>
      <c r="Z25" s="2"/>
    </row>
    <row r="26" spans="1:26">
      <c r="H26" s="12" t="s">
        <v>41</v>
      </c>
      <c r="I26" s="12"/>
      <c r="J26" s="12"/>
      <c r="T26" s="2" t="s">
        <v>34</v>
      </c>
      <c r="U26" s="2">
        <f>U25*-8.314</f>
        <v>88186.597999999998</v>
      </c>
      <c r="V26" s="2" t="s">
        <v>18</v>
      </c>
      <c r="X26" s="2" t="s">
        <v>34</v>
      </c>
      <c r="Y26" s="2">
        <f>Y25*-8.314</f>
        <v>86964.44</v>
      </c>
      <c r="Z26" s="2" t="s">
        <v>18</v>
      </c>
    </row>
    <row r="27" spans="1:26">
      <c r="H27" s="12" t="s">
        <v>33</v>
      </c>
      <c r="I27" s="12">
        <v>-5467</v>
      </c>
      <c r="J27" s="12"/>
      <c r="T27" s="2"/>
      <c r="U27" s="2">
        <f>U26/1000</f>
        <v>88.186598000000004</v>
      </c>
      <c r="V27" s="2" t="s">
        <v>19</v>
      </c>
      <c r="X27" s="2"/>
      <c r="Y27" s="2">
        <f>Y26/1000</f>
        <v>86.964439999999996</v>
      </c>
      <c r="Z27" s="2" t="s">
        <v>19</v>
      </c>
    </row>
    <row r="28" spans="1:26">
      <c r="H28" s="12" t="s">
        <v>34</v>
      </c>
      <c r="I28" s="12">
        <f>I27*-8.314</f>
        <v>45452.637999999999</v>
      </c>
      <c r="J28" s="12" t="s">
        <v>18</v>
      </c>
    </row>
    <row r="29" spans="1:26">
      <c r="H29" s="12"/>
      <c r="I29" s="12">
        <f>I28/1000</f>
        <v>45.452638</v>
      </c>
      <c r="J29" s="12" t="s">
        <v>19</v>
      </c>
      <c r="T29" s="2" t="s">
        <v>59</v>
      </c>
      <c r="U29" s="2"/>
      <c r="V29" s="2"/>
    </row>
    <row r="30" spans="1:26">
      <c r="T30" s="2" t="s">
        <v>33</v>
      </c>
      <c r="U30" s="2">
        <v>-9820.7999999999993</v>
      </c>
      <c r="V30" s="2"/>
    </row>
    <row r="31" spans="1:26">
      <c r="T31" s="2" t="s">
        <v>34</v>
      </c>
      <c r="U31" s="2">
        <f>U30*-8.314</f>
        <v>81650.131199999989</v>
      </c>
      <c r="V31" s="2" t="s">
        <v>18</v>
      </c>
    </row>
    <row r="32" spans="1:26">
      <c r="T32" s="2"/>
      <c r="U32" s="2">
        <f>U31/1000</f>
        <v>81.65013119999999</v>
      </c>
      <c r="V32" s="2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U22" sqref="U22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44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-5898</v>
      </c>
      <c r="V5" s="2"/>
      <c r="W5" s="13"/>
      <c r="Y5" s="13"/>
    </row>
    <row r="6" spans="1:27">
      <c r="A6" s="2" t="s">
        <v>25</v>
      </c>
      <c r="B6" s="2" t="s">
        <v>26</v>
      </c>
      <c r="F6" s="2"/>
      <c r="R6" s="13"/>
      <c r="S6" s="13"/>
      <c r="T6" s="2" t="s">
        <v>34</v>
      </c>
      <c r="U6" s="2">
        <f>U5*-8.314</f>
        <v>49035.972000000002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49.035972000000001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>
        <v>0</v>
      </c>
      <c r="E9">
        <v>0</v>
      </c>
      <c r="F9">
        <f>(E9/50)*1000000</f>
        <v>0</v>
      </c>
      <c r="G9">
        <f>F9</f>
        <v>0</v>
      </c>
      <c r="H9">
        <f>G9/4.8</f>
        <v>0</v>
      </c>
      <c r="I9" t="e">
        <f t="shared" ref="I9:I17" si="0">LN(H9)</f>
        <v>#NUM!</v>
      </c>
      <c r="R9" s="13"/>
      <c r="S9" s="13"/>
      <c r="T9" s="2" t="s">
        <v>43</v>
      </c>
      <c r="U9" s="2"/>
      <c r="V9" s="2"/>
      <c r="W9" s="13"/>
      <c r="Y9" s="13"/>
    </row>
    <row r="10" spans="1:27">
      <c r="A10">
        <v>325</v>
      </c>
      <c r="B10">
        <f t="shared" ref="B10:B18" si="1">A10+273</f>
        <v>598</v>
      </c>
      <c r="C10">
        <f t="shared" ref="C10:C18" si="2">1/B10</f>
        <v>1.6722408026755853E-3</v>
      </c>
      <c r="D10">
        <v>3.3442572963338981</v>
      </c>
      <c r="E10">
        <v>9.994769330765941E-9</v>
      </c>
      <c r="F10">
        <f t="shared" ref="F10:F18" si="3">(E10/50)*1000000</f>
        <v>1.9989538661531882E-4</v>
      </c>
      <c r="G10">
        <f t="shared" ref="G10:G17" si="4">F10</f>
        <v>1.9989538661531882E-4</v>
      </c>
      <c r="H10">
        <f t="shared" ref="H10:H17" si="5">G10/4.8</f>
        <v>4.1644872211524756E-5</v>
      </c>
      <c r="I10">
        <f t="shared" si="0"/>
        <v>-10.086332313100714</v>
      </c>
      <c r="R10" s="13"/>
      <c r="S10" s="13"/>
      <c r="T10" s="2" t="s">
        <v>33</v>
      </c>
      <c r="U10" s="2">
        <v>-7048</v>
      </c>
      <c r="V10" s="2"/>
      <c r="W10" s="13"/>
      <c r="Y10" s="13"/>
    </row>
    <row r="11" spans="1:27">
      <c r="A11">
        <v>350</v>
      </c>
      <c r="B11">
        <f t="shared" si="1"/>
        <v>623</v>
      </c>
      <c r="C11">
        <f t="shared" si="2"/>
        <v>1.6051364365971107E-3</v>
      </c>
      <c r="D11">
        <v>5.2488039505933086</v>
      </c>
      <c r="E11">
        <v>2.339258344707417E-8</v>
      </c>
      <c r="F11">
        <f t="shared" si="3"/>
        <v>4.678516689414834E-4</v>
      </c>
      <c r="G11">
        <f t="shared" si="4"/>
        <v>4.678516689414834E-4</v>
      </c>
      <c r="H11">
        <f t="shared" si="5"/>
        <v>9.746909769614238E-5</v>
      </c>
      <c r="I11">
        <f t="shared" si="0"/>
        <v>-9.2359751769049279</v>
      </c>
      <c r="R11" s="13"/>
      <c r="T11" s="2" t="s">
        <v>34</v>
      </c>
      <c r="U11" s="2">
        <f>U10*-8.314</f>
        <v>58597.072</v>
      </c>
      <c r="V11" s="2" t="s">
        <v>18</v>
      </c>
      <c r="W11" s="13"/>
      <c r="Y11" s="13"/>
    </row>
    <row r="12" spans="1:27">
      <c r="A12">
        <v>375</v>
      </c>
      <c r="B12">
        <f t="shared" si="1"/>
        <v>648</v>
      </c>
      <c r="C12">
        <f t="shared" si="2"/>
        <v>1.5432098765432098E-3</v>
      </c>
      <c r="D12">
        <v>16.199947212585045</v>
      </c>
      <c r="E12">
        <v>5.8441265175336504E-8</v>
      </c>
      <c r="F12">
        <f t="shared" si="3"/>
        <v>1.16882530350673E-3</v>
      </c>
      <c r="G12">
        <f t="shared" si="4"/>
        <v>1.16882530350673E-3</v>
      </c>
      <c r="H12">
        <f t="shared" si="5"/>
        <v>2.435052715639021E-4</v>
      </c>
      <c r="I12">
        <f t="shared" si="0"/>
        <v>-8.3203719665429006</v>
      </c>
      <c r="R12" s="13"/>
      <c r="T12" s="2"/>
      <c r="U12" s="2">
        <f>U11/1000</f>
        <v>58.597071999999997</v>
      </c>
      <c r="V12" s="2" t="s">
        <v>19</v>
      </c>
      <c r="W12" s="13"/>
      <c r="Y12" s="13"/>
    </row>
    <row r="13" spans="1:27">
      <c r="A13">
        <v>390</v>
      </c>
      <c r="B13">
        <f t="shared" si="1"/>
        <v>663</v>
      </c>
      <c r="C13">
        <f t="shared" si="2"/>
        <v>1.5082956259426848E-3</v>
      </c>
      <c r="D13">
        <v>18.342562198626897</v>
      </c>
      <c r="E13">
        <v>8.5478054062046517E-8</v>
      </c>
      <c r="F13">
        <f t="shared" si="3"/>
        <v>1.7095610812409303E-3</v>
      </c>
      <c r="G13">
        <f t="shared" si="4"/>
        <v>1.7095610812409303E-3</v>
      </c>
      <c r="H13">
        <f t="shared" si="5"/>
        <v>3.5615855859186051E-4</v>
      </c>
      <c r="I13">
        <f t="shared" si="0"/>
        <v>-7.9401345369656395</v>
      </c>
      <c r="R13" s="13"/>
      <c r="W13" s="13"/>
      <c r="Y13" s="13"/>
    </row>
    <row r="14" spans="1:27">
      <c r="A14">
        <v>400</v>
      </c>
      <c r="B14">
        <f t="shared" si="1"/>
        <v>673</v>
      </c>
      <c r="C14">
        <f t="shared" si="2"/>
        <v>1.4858841010401188E-3</v>
      </c>
      <c r="D14">
        <v>18.342562198626897</v>
      </c>
      <c r="E14">
        <v>8.9497398296938979E-8</v>
      </c>
      <c r="F14">
        <f t="shared" si="3"/>
        <v>1.7899479659387795E-3</v>
      </c>
      <c r="G14">
        <f t="shared" si="4"/>
        <v>1.7899479659387795E-3</v>
      </c>
      <c r="H14">
        <f t="shared" si="5"/>
        <v>3.7290582623724576E-4</v>
      </c>
      <c r="I14">
        <f t="shared" si="0"/>
        <v>-7.894184646773784</v>
      </c>
      <c r="R14" s="13"/>
      <c r="T14" s="2" t="s">
        <v>40</v>
      </c>
      <c r="U14" s="2"/>
      <c r="V14" s="2"/>
      <c r="W14" s="13"/>
      <c r="Y14" s="13"/>
    </row>
    <row r="15" spans="1:27">
      <c r="A15">
        <v>410</v>
      </c>
      <c r="B15">
        <f t="shared" si="1"/>
        <v>683</v>
      </c>
      <c r="C15">
        <f t="shared" si="2"/>
        <v>1.4641288433382138E-3</v>
      </c>
      <c r="D15">
        <v>24.056202161405185</v>
      </c>
      <c r="E15">
        <v>9.4588567661136114E-8</v>
      </c>
      <c r="F15">
        <f t="shared" si="3"/>
        <v>1.8917713532227221E-3</v>
      </c>
      <c r="G15">
        <f t="shared" si="4"/>
        <v>1.8917713532227221E-3</v>
      </c>
      <c r="H15">
        <f t="shared" si="5"/>
        <v>3.9411903192140043E-4</v>
      </c>
      <c r="I15">
        <f t="shared" si="0"/>
        <v>-7.8388575828171874</v>
      </c>
      <c r="R15" s="13"/>
      <c r="T15" s="2" t="s">
        <v>33</v>
      </c>
      <c r="U15" s="2">
        <v>-9023.4</v>
      </c>
      <c r="V15" s="2"/>
      <c r="W15" s="13"/>
      <c r="Y15" s="13"/>
    </row>
    <row r="16" spans="1:27">
      <c r="A16">
        <v>425</v>
      </c>
      <c r="B16">
        <f t="shared" si="1"/>
        <v>698</v>
      </c>
      <c r="C16">
        <f t="shared" si="2"/>
        <v>1.4326647564469914E-3</v>
      </c>
      <c r="D16">
        <v>29.627001125114024</v>
      </c>
      <c r="E16">
        <v>1.1924054563514325E-7</v>
      </c>
      <c r="F16">
        <f t="shared" si="3"/>
        <v>2.3848109127028649E-3</v>
      </c>
      <c r="G16">
        <f t="shared" si="4"/>
        <v>2.3848109127028649E-3</v>
      </c>
      <c r="H16">
        <f t="shared" si="5"/>
        <v>4.9683560681309689E-4</v>
      </c>
      <c r="I16">
        <f t="shared" si="0"/>
        <v>-7.6072513575842438</v>
      </c>
      <c r="R16" s="13"/>
      <c r="T16" s="2" t="s">
        <v>34</v>
      </c>
      <c r="U16" s="2">
        <f>U15*-8.314</f>
        <v>75020.547599999991</v>
      </c>
      <c r="V16" s="2" t="s">
        <v>18</v>
      </c>
      <c r="W16" s="13"/>
      <c r="Y16" s="13"/>
    </row>
    <row r="17" spans="1:22">
      <c r="A17">
        <v>440</v>
      </c>
      <c r="B17">
        <f t="shared" si="1"/>
        <v>713</v>
      </c>
      <c r="C17">
        <f t="shared" si="2"/>
        <v>1.4025245441795231E-3</v>
      </c>
      <c r="D17">
        <v>45.410931522289069</v>
      </c>
      <c r="E17">
        <v>1.7443953979433317E-7</v>
      </c>
      <c r="F17">
        <f t="shared" si="3"/>
        <v>3.4887907958866633E-3</v>
      </c>
      <c r="G17">
        <f t="shared" si="4"/>
        <v>3.4887907958866633E-3</v>
      </c>
      <c r="H17">
        <f t="shared" si="5"/>
        <v>7.2683141580972156E-4</v>
      </c>
      <c r="I17">
        <f t="shared" si="0"/>
        <v>-7.2268159975419151</v>
      </c>
      <c r="T17" s="2"/>
      <c r="U17" s="2">
        <f>U16/1000</f>
        <v>75.020547599999986</v>
      </c>
      <c r="V17" s="2" t="s">
        <v>19</v>
      </c>
    </row>
    <row r="18" spans="1:22">
      <c r="A18">
        <v>450</v>
      </c>
      <c r="B18">
        <f t="shared" si="1"/>
        <v>723</v>
      </c>
      <c r="C18">
        <f t="shared" si="2"/>
        <v>1.3831258644536654E-3</v>
      </c>
      <c r="D18">
        <v>53.314800137465703</v>
      </c>
      <c r="E18">
        <v>1.8703348506366291E-7</v>
      </c>
      <c r="F18">
        <f t="shared" si="3"/>
        <v>3.7406697012732585E-3</v>
      </c>
      <c r="G18">
        <f t="shared" ref="G18" si="6">F18</f>
        <v>3.7406697012732585E-3</v>
      </c>
      <c r="H18">
        <f t="shared" ref="H18" si="7">G18/4.8</f>
        <v>7.7930618776526222E-4</v>
      </c>
      <c r="I18">
        <f t="shared" ref="I18" si="8">LN(H18)</f>
        <v>-7.1571065369881115</v>
      </c>
    </row>
    <row r="19" spans="1:22">
      <c r="E19" s="9"/>
      <c r="M19" s="11"/>
      <c r="T19" s="2" t="s">
        <v>60</v>
      </c>
      <c r="U19" s="2"/>
      <c r="V19" s="2"/>
    </row>
    <row r="20" spans="1:22">
      <c r="T20" s="2" t="s">
        <v>33</v>
      </c>
      <c r="U20" s="2">
        <v>-8707</v>
      </c>
      <c r="V20" s="2"/>
    </row>
    <row r="21" spans="1:22">
      <c r="H21" s="2" t="s">
        <v>39</v>
      </c>
      <c r="I21" s="2"/>
      <c r="J21" s="2"/>
      <c r="T21" s="2" t="s">
        <v>34</v>
      </c>
      <c r="U21" s="2">
        <f>U20*-8.314</f>
        <v>72389.998000000007</v>
      </c>
      <c r="V21" s="2" t="s">
        <v>18</v>
      </c>
    </row>
    <row r="22" spans="1:22">
      <c r="H22" s="2" t="s">
        <v>33</v>
      </c>
      <c r="I22" s="2">
        <v>-11742</v>
      </c>
      <c r="J22" s="2"/>
      <c r="T22" s="2"/>
      <c r="U22" s="2">
        <f>U21/1000</f>
        <v>72.389998000000006</v>
      </c>
      <c r="V22" s="2" t="s">
        <v>19</v>
      </c>
    </row>
    <row r="23" spans="1:22">
      <c r="H23" s="2" t="s">
        <v>34</v>
      </c>
      <c r="I23" s="2">
        <f>I22*-8.314</f>
        <v>97622.987999999998</v>
      </c>
      <c r="J23" s="2" t="s">
        <v>18</v>
      </c>
    </row>
    <row r="24" spans="1:22">
      <c r="H24" s="2"/>
      <c r="I24" s="2">
        <f>I23/1000</f>
        <v>97.622987999999992</v>
      </c>
      <c r="J24" s="2" t="s">
        <v>19</v>
      </c>
    </row>
    <row r="26" spans="1:22">
      <c r="H26" s="12" t="s">
        <v>41</v>
      </c>
      <c r="I26" s="12"/>
      <c r="J26" s="12"/>
    </row>
    <row r="27" spans="1:22">
      <c r="H27" s="12" t="s">
        <v>33</v>
      </c>
      <c r="I27" s="12">
        <v>-8971</v>
      </c>
      <c r="J27" s="12"/>
    </row>
    <row r="28" spans="1:22">
      <c r="H28" s="12" t="s">
        <v>34</v>
      </c>
      <c r="I28" s="12">
        <f>I27*-8.314</f>
        <v>74584.894</v>
      </c>
      <c r="J28" s="12" t="s">
        <v>18</v>
      </c>
    </row>
    <row r="29" spans="1:22">
      <c r="H29" s="12"/>
      <c r="I29" s="12">
        <f>I28/1000</f>
        <v>74.584894000000006</v>
      </c>
      <c r="J29" s="12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U17" sqref="U17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42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-12836</v>
      </c>
      <c r="V5" s="2"/>
      <c r="W5" s="13"/>
      <c r="Y5" s="13"/>
    </row>
    <row r="6" spans="1:27">
      <c r="A6" s="2" t="s">
        <v>25</v>
      </c>
      <c r="B6" s="2" t="s">
        <v>26</v>
      </c>
      <c r="F6" s="2"/>
      <c r="R6" s="13"/>
      <c r="S6" s="13"/>
      <c r="T6" s="2" t="s">
        <v>34</v>
      </c>
      <c r="U6" s="2">
        <f>U5*-8.314</f>
        <v>106718.504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106.718504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T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>
        <v>0</v>
      </c>
      <c r="E9">
        <v>0</v>
      </c>
      <c r="F9">
        <f>(E9/50)*1000000</f>
        <v>0</v>
      </c>
      <c r="G9">
        <f>F9</f>
        <v>0</v>
      </c>
      <c r="H9">
        <f>G9/4.8</f>
        <v>0</v>
      </c>
      <c r="I9" t="e">
        <f t="shared" ref="I9:I17" si="0">LN(H9)</f>
        <v>#NUM!</v>
      </c>
      <c r="R9" s="13"/>
      <c r="S9" s="13"/>
      <c r="T9" s="2" t="s">
        <v>45</v>
      </c>
      <c r="U9" s="2"/>
      <c r="V9" s="2"/>
      <c r="W9" s="13"/>
      <c r="Y9" s="13"/>
    </row>
    <row r="10" spans="1:27">
      <c r="A10">
        <v>325</v>
      </c>
      <c r="B10">
        <f t="shared" ref="B10:B17" si="1">A10+273</f>
        <v>598</v>
      </c>
      <c r="C10">
        <f t="shared" ref="C10:C17" si="2">1/B10</f>
        <v>1.6722408026755853E-3</v>
      </c>
      <c r="D10">
        <v>6.9989181739031494</v>
      </c>
      <c r="E10">
        <v>1.5595055631382779E-8</v>
      </c>
      <c r="F10">
        <f t="shared" ref="F10:F17" si="3">(E10/50)*1000000</f>
        <v>3.1190111262765553E-4</v>
      </c>
      <c r="G10">
        <f t="shared" ref="G10:G17" si="4">F10</f>
        <v>3.1190111262765553E-4</v>
      </c>
      <c r="H10">
        <f t="shared" ref="H10:H17" si="5">G10/4.8</f>
        <v>6.4979398464094906E-5</v>
      </c>
      <c r="I10">
        <f t="shared" si="0"/>
        <v>-9.6414402850130916</v>
      </c>
      <c r="R10" s="13"/>
      <c r="S10" s="13"/>
      <c r="T10" s="2" t="s">
        <v>33</v>
      </c>
      <c r="U10" s="2">
        <v>-13341</v>
      </c>
      <c r="V10" s="2"/>
      <c r="W10" s="13"/>
      <c r="Y10" s="13"/>
    </row>
    <row r="11" spans="1:27">
      <c r="A11">
        <v>350</v>
      </c>
      <c r="B11">
        <f t="shared" si="1"/>
        <v>623</v>
      </c>
      <c r="C11">
        <f t="shared" si="2"/>
        <v>1.6051364365971107E-3</v>
      </c>
      <c r="D11">
        <v>16.898192990126351</v>
      </c>
      <c r="E11">
        <v>8.8425573167634319E-8</v>
      </c>
      <c r="F11">
        <f t="shared" si="3"/>
        <v>1.7685114633526863E-3</v>
      </c>
      <c r="G11">
        <f t="shared" si="4"/>
        <v>1.7685114633526863E-3</v>
      </c>
      <c r="H11">
        <f t="shared" si="5"/>
        <v>3.6843988819847633E-4</v>
      </c>
      <c r="I11">
        <f t="shared" si="0"/>
        <v>-7.9062329852899582</v>
      </c>
      <c r="R11" s="13"/>
      <c r="T11" s="2" t="s">
        <v>34</v>
      </c>
      <c r="U11" s="2">
        <f>U10*-8.314</f>
        <v>110917.07400000001</v>
      </c>
      <c r="V11" s="2" t="s">
        <v>18</v>
      </c>
      <c r="W11" s="13"/>
      <c r="Y11" s="13"/>
    </row>
    <row r="12" spans="1:27">
      <c r="A12">
        <v>375</v>
      </c>
      <c r="B12">
        <f t="shared" si="1"/>
        <v>648</v>
      </c>
      <c r="C12">
        <f t="shared" si="2"/>
        <v>1.5432098765432098E-3</v>
      </c>
      <c r="D12">
        <v>43.007530317915005</v>
      </c>
      <c r="E12">
        <v>1.8542574736970592E-7</v>
      </c>
      <c r="F12">
        <f t="shared" si="3"/>
        <v>3.7085149473941184E-3</v>
      </c>
      <c r="G12">
        <f t="shared" si="4"/>
        <v>3.7085149473941184E-3</v>
      </c>
      <c r="H12">
        <f t="shared" si="5"/>
        <v>7.7260728070710808E-4</v>
      </c>
      <c r="I12">
        <f t="shared" si="0"/>
        <v>-7.1657396841328138</v>
      </c>
      <c r="R12" s="13"/>
      <c r="T12" s="2"/>
      <c r="U12" s="2">
        <f>U11/1000</f>
        <v>110.91707400000001</v>
      </c>
      <c r="V12" s="2" t="s">
        <v>19</v>
      </c>
      <c r="W12" s="13"/>
      <c r="Y12" s="13"/>
    </row>
    <row r="13" spans="1:27">
      <c r="A13">
        <v>390</v>
      </c>
      <c r="B13">
        <f t="shared" si="1"/>
        <v>663</v>
      </c>
      <c r="C13">
        <f t="shared" si="2"/>
        <v>1.5082956259426848E-3</v>
      </c>
      <c r="D13">
        <v>72.386233407377404</v>
      </c>
      <c r="E13">
        <v>2.9341212914715024E-7</v>
      </c>
      <c r="F13">
        <f t="shared" si="3"/>
        <v>5.8682425829430047E-3</v>
      </c>
      <c r="G13">
        <f t="shared" si="4"/>
        <v>5.8682425829430047E-3</v>
      </c>
      <c r="H13">
        <f t="shared" si="5"/>
        <v>1.2225505381131261E-3</v>
      </c>
      <c r="I13">
        <f t="shared" si="0"/>
        <v>-6.7068159974998824</v>
      </c>
      <c r="R13" s="13"/>
      <c r="W13" s="13"/>
      <c r="Y13" s="13"/>
    </row>
    <row r="14" spans="1:27">
      <c r="A14">
        <v>400</v>
      </c>
      <c r="B14">
        <f t="shared" si="1"/>
        <v>673</v>
      </c>
      <c r="C14">
        <f t="shared" si="2"/>
        <v>1.4858841010401188E-3</v>
      </c>
      <c r="D14">
        <v>81.373732911580035</v>
      </c>
      <c r="E14">
        <v>4.3784056532095301E-7</v>
      </c>
      <c r="F14">
        <f t="shared" si="3"/>
        <v>8.75681130641906E-3</v>
      </c>
      <c r="G14">
        <f t="shared" si="4"/>
        <v>8.75681130641906E-3</v>
      </c>
      <c r="H14">
        <f t="shared" si="5"/>
        <v>1.8243356888373043E-3</v>
      </c>
      <c r="I14">
        <f t="shared" si="0"/>
        <v>-6.3065393643305354</v>
      </c>
      <c r="R14" s="13"/>
      <c r="T14" s="2" t="s">
        <v>39</v>
      </c>
      <c r="U14" s="2"/>
      <c r="V14" s="2"/>
      <c r="W14" s="13"/>
      <c r="Y14" s="13"/>
    </row>
    <row r="15" spans="1:27">
      <c r="A15">
        <v>410</v>
      </c>
      <c r="B15">
        <f t="shared" si="1"/>
        <v>683</v>
      </c>
      <c r="C15">
        <f t="shared" si="2"/>
        <v>1.4641288433382138E-3</v>
      </c>
      <c r="D15">
        <v>87.07884129250867</v>
      </c>
      <c r="E15">
        <v>5.1206445552530057E-7</v>
      </c>
      <c r="F15">
        <f t="shared" si="3"/>
        <v>1.0241289110506011E-2</v>
      </c>
      <c r="G15">
        <f t="shared" si="4"/>
        <v>1.0241289110506011E-2</v>
      </c>
      <c r="H15">
        <f t="shared" si="5"/>
        <v>2.1336018980220857E-3</v>
      </c>
      <c r="I15">
        <f t="shared" si="0"/>
        <v>-6.1499436955102107</v>
      </c>
      <c r="R15" s="13"/>
      <c r="T15" s="2" t="s">
        <v>33</v>
      </c>
      <c r="U15" s="2">
        <v>-12336</v>
      </c>
      <c r="V15" s="2"/>
      <c r="W15" s="13"/>
      <c r="Y15" s="13"/>
    </row>
    <row r="16" spans="1:27">
      <c r="A16">
        <v>425</v>
      </c>
      <c r="B16">
        <f t="shared" si="1"/>
        <v>698</v>
      </c>
      <c r="C16">
        <f t="shared" si="2"/>
        <v>1.4326647564469914E-3</v>
      </c>
      <c r="D16">
        <v>97.030217555133049</v>
      </c>
      <c r="E16">
        <v>6.4175529617116427E-7</v>
      </c>
      <c r="F16">
        <f t="shared" si="3"/>
        <v>1.2835105923423287E-2</v>
      </c>
      <c r="G16">
        <f t="shared" si="4"/>
        <v>1.2835105923423287E-2</v>
      </c>
      <c r="H16">
        <f t="shared" si="5"/>
        <v>2.6739804007131847E-3</v>
      </c>
      <c r="I16">
        <f t="shared" si="0"/>
        <v>-5.9241871299054685</v>
      </c>
      <c r="R16" s="13"/>
      <c r="T16" s="2" t="s">
        <v>34</v>
      </c>
      <c r="U16" s="2">
        <f>U15*-8.314</f>
        <v>102561.504</v>
      </c>
      <c r="V16" s="2" t="s">
        <v>18</v>
      </c>
      <c r="W16" s="13"/>
      <c r="Y16" s="13"/>
    </row>
    <row r="17" spans="1:22">
      <c r="A17">
        <v>450</v>
      </c>
      <c r="B17">
        <f t="shared" si="1"/>
        <v>723</v>
      </c>
      <c r="C17">
        <f t="shared" si="2"/>
        <v>1.3831258644536654E-3</v>
      </c>
      <c r="D17">
        <v>99.433396770387219</v>
      </c>
      <c r="E17">
        <v>6.8462830134335056E-7</v>
      </c>
      <c r="F17">
        <f t="shared" si="3"/>
        <v>1.3692566026867012E-2</v>
      </c>
      <c r="G17">
        <f t="shared" si="4"/>
        <v>1.3692566026867012E-2</v>
      </c>
      <c r="H17">
        <f t="shared" si="5"/>
        <v>2.8526179222639609E-3</v>
      </c>
      <c r="I17">
        <f t="shared" si="0"/>
        <v>-5.859518137112679</v>
      </c>
      <c r="T17" s="2"/>
      <c r="U17" s="2">
        <f>U16/1000</f>
        <v>102.561504</v>
      </c>
      <c r="V17" s="2" t="s">
        <v>19</v>
      </c>
    </row>
    <row r="19" spans="1:22">
      <c r="E19" s="9"/>
      <c r="M19" s="11"/>
    </row>
    <row r="21" spans="1:22">
      <c r="H21" s="2" t="s">
        <v>39</v>
      </c>
      <c r="I21" s="2"/>
      <c r="J21" s="2"/>
    </row>
    <row r="22" spans="1:22">
      <c r="H22" s="2" t="s">
        <v>33</v>
      </c>
      <c r="I22" s="2">
        <v>-13163</v>
      </c>
      <c r="J22" s="2"/>
    </row>
    <row r="23" spans="1:22">
      <c r="H23" s="2" t="s">
        <v>34</v>
      </c>
      <c r="I23" s="2">
        <f>I22*-8.314</f>
        <v>109437.182</v>
      </c>
      <c r="J23" s="2" t="s">
        <v>18</v>
      </c>
    </row>
    <row r="24" spans="1:22">
      <c r="H24" s="2"/>
      <c r="I24" s="2">
        <f>I23/1000</f>
        <v>109.43718200000001</v>
      </c>
      <c r="J24" s="2" t="s">
        <v>19</v>
      </c>
    </row>
    <row r="26" spans="1:22">
      <c r="H26" s="12" t="s">
        <v>41</v>
      </c>
      <c r="I26" s="12"/>
      <c r="J26" s="12"/>
    </row>
    <row r="27" spans="1:22">
      <c r="H27" s="12" t="s">
        <v>33</v>
      </c>
      <c r="I27" s="12">
        <v>-3381</v>
      </c>
      <c r="J27" s="12"/>
    </row>
    <row r="28" spans="1:22">
      <c r="H28" s="12" t="s">
        <v>34</v>
      </c>
      <c r="I28" s="12">
        <f>I27*-8.314</f>
        <v>28109.634000000002</v>
      </c>
      <c r="J28" s="12" t="s">
        <v>18</v>
      </c>
    </row>
    <row r="29" spans="1:22">
      <c r="H29" s="12"/>
      <c r="I29" s="12">
        <f>I28/1000</f>
        <v>28.109634000000003</v>
      </c>
      <c r="J29" s="12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M23" sqref="M23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42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-16542</v>
      </c>
      <c r="V5" s="2"/>
      <c r="W5" s="13"/>
      <c r="Y5" s="13"/>
    </row>
    <row r="6" spans="1:27">
      <c r="A6" s="2" t="s">
        <v>25</v>
      </c>
      <c r="B6" s="2" t="s">
        <v>26</v>
      </c>
      <c r="F6" s="2"/>
      <c r="R6" s="13"/>
      <c r="S6" s="13"/>
      <c r="T6" s="2" t="s">
        <v>34</v>
      </c>
      <c r="U6" s="2">
        <f>U5*-8.314</f>
        <v>137530.18799999999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137.53018799999998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T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>
        <v>0</v>
      </c>
      <c r="E9">
        <v>0</v>
      </c>
      <c r="F9">
        <f>(E9/50)*1000000</f>
        <v>0</v>
      </c>
      <c r="G9">
        <f>F9</f>
        <v>0</v>
      </c>
      <c r="H9">
        <f>G9/4.8</f>
        <v>0</v>
      </c>
      <c r="I9" t="e">
        <f t="shared" ref="I9:I17" si="0">LN(H9)</f>
        <v>#NUM!</v>
      </c>
      <c r="R9" s="13"/>
      <c r="S9" s="13"/>
      <c r="T9" s="2" t="s">
        <v>45</v>
      </c>
      <c r="U9" s="2"/>
      <c r="V9" s="2"/>
      <c r="W9" s="13"/>
      <c r="Y9" s="13"/>
    </row>
    <row r="10" spans="1:27">
      <c r="A10">
        <v>325</v>
      </c>
      <c r="B10">
        <f t="shared" ref="B10:B17" si="1">A10+273</f>
        <v>598</v>
      </c>
      <c r="C10">
        <f t="shared" ref="C10:C17" si="2">1/B10</f>
        <v>1.6722408026755853E-3</v>
      </c>
      <c r="D10">
        <v>5.0107356188108936</v>
      </c>
      <c r="E10">
        <v>7.2348196228064443E-9</v>
      </c>
      <c r="F10">
        <f t="shared" ref="F10:F17" si="3">(E10/50)*1000000</f>
        <v>1.4469639245612889E-4</v>
      </c>
      <c r="G10">
        <f t="shared" ref="G10:G17" si="4">F10</f>
        <v>1.4469639245612889E-4</v>
      </c>
      <c r="H10">
        <f t="shared" ref="H10:H17" si="5">G10/4.8</f>
        <v>3.0145081761693519E-5</v>
      </c>
      <c r="I10">
        <f t="shared" si="0"/>
        <v>-10.409488773746155</v>
      </c>
      <c r="R10" s="13"/>
      <c r="S10" s="13"/>
      <c r="T10" s="2" t="s">
        <v>33</v>
      </c>
      <c r="U10" s="2">
        <v>-13904</v>
      </c>
      <c r="V10" s="2"/>
      <c r="W10" s="13"/>
      <c r="Y10" s="13"/>
    </row>
    <row r="11" spans="1:27">
      <c r="A11">
        <v>350</v>
      </c>
      <c r="B11">
        <f t="shared" si="1"/>
        <v>623</v>
      </c>
      <c r="C11">
        <f t="shared" si="2"/>
        <v>1.6051364365971107E-3</v>
      </c>
      <c r="D11">
        <v>18.580630530409326</v>
      </c>
      <c r="E11">
        <v>3.6093711229334378E-8</v>
      </c>
      <c r="F11">
        <f t="shared" si="3"/>
        <v>7.2187422458668753E-4</v>
      </c>
      <c r="G11">
        <f t="shared" si="4"/>
        <v>7.2187422458668753E-4</v>
      </c>
      <c r="H11">
        <f t="shared" si="5"/>
        <v>1.503904634555599E-4</v>
      </c>
      <c r="I11">
        <f t="shared" si="0"/>
        <v>-8.8022755563341661</v>
      </c>
      <c r="R11" s="13"/>
      <c r="T11" s="2" t="s">
        <v>34</v>
      </c>
      <c r="U11" s="2">
        <f>U10*-8.314</f>
        <v>115597.856</v>
      </c>
      <c r="V11" s="2" t="s">
        <v>18</v>
      </c>
      <c r="W11" s="13"/>
      <c r="Y11" s="13"/>
    </row>
    <row r="12" spans="1:27">
      <c r="A12">
        <v>375</v>
      </c>
      <c r="B12">
        <f t="shared" si="1"/>
        <v>648</v>
      </c>
      <c r="C12">
        <f t="shared" si="2"/>
        <v>1.5432098765432098E-3</v>
      </c>
      <c r="D12">
        <v>46.720307347092422</v>
      </c>
      <c r="E12">
        <v>1.3638974770401776E-7</v>
      </c>
      <c r="F12">
        <f t="shared" si="3"/>
        <v>2.727794954080355E-3</v>
      </c>
      <c r="G12">
        <f t="shared" si="4"/>
        <v>2.727794954080355E-3</v>
      </c>
      <c r="H12">
        <f t="shared" si="5"/>
        <v>5.682906154334073E-4</v>
      </c>
      <c r="I12">
        <f t="shared" si="0"/>
        <v>-7.4728776231999614</v>
      </c>
      <c r="R12" s="13"/>
      <c r="T12" s="2"/>
      <c r="U12" s="2">
        <f>U11/1000</f>
        <v>115.59785599999999</v>
      </c>
      <c r="V12" s="2" t="s">
        <v>19</v>
      </c>
      <c r="W12" s="13"/>
      <c r="Y12" s="13"/>
    </row>
    <row r="13" spans="1:27">
      <c r="A13">
        <v>390</v>
      </c>
      <c r="B13">
        <f t="shared" si="1"/>
        <v>663</v>
      </c>
      <c r="C13">
        <f t="shared" si="2"/>
        <v>1.5082956259426848E-3</v>
      </c>
      <c r="D13">
        <v>58.724242903772485</v>
      </c>
      <c r="E13">
        <v>1.6854450158315754E-7</v>
      </c>
      <c r="F13">
        <f t="shared" si="3"/>
        <v>3.3708900316631509E-3</v>
      </c>
      <c r="G13">
        <f t="shared" si="4"/>
        <v>3.3708900316631509E-3</v>
      </c>
      <c r="H13">
        <f t="shared" si="5"/>
        <v>7.0226875659648981E-4</v>
      </c>
      <c r="I13">
        <f t="shared" si="0"/>
        <v>-7.2611943830500429</v>
      </c>
      <c r="R13" s="13"/>
      <c r="W13" s="13"/>
      <c r="Y13" s="13"/>
    </row>
    <row r="14" spans="1:27">
      <c r="A14">
        <v>400</v>
      </c>
      <c r="B14">
        <f t="shared" si="1"/>
        <v>673</v>
      </c>
      <c r="C14">
        <f t="shared" si="2"/>
        <v>1.4858841010401188E-3</v>
      </c>
      <c r="D14">
        <v>69.37295652999272</v>
      </c>
      <c r="E14">
        <v>3.0091490505228286E-7</v>
      </c>
      <c r="F14">
        <f t="shared" si="3"/>
        <v>6.018298101045658E-3</v>
      </c>
      <c r="G14">
        <f t="shared" si="4"/>
        <v>6.018298101045658E-3</v>
      </c>
      <c r="H14">
        <f t="shared" si="5"/>
        <v>1.2538121043845121E-3</v>
      </c>
      <c r="I14">
        <f t="shared" si="0"/>
        <v>-6.681566685012041</v>
      </c>
      <c r="R14" s="13"/>
      <c r="T14" s="2" t="s">
        <v>61</v>
      </c>
      <c r="U14" s="2"/>
      <c r="V14" s="2"/>
      <c r="W14" s="13"/>
      <c r="Y14" s="13"/>
    </row>
    <row r="15" spans="1:27">
      <c r="A15">
        <v>410</v>
      </c>
      <c r="B15">
        <f t="shared" si="1"/>
        <v>683</v>
      </c>
      <c r="C15">
        <f t="shared" si="2"/>
        <v>1.4641288433382138E-3</v>
      </c>
      <c r="D15">
        <v>78.94240864004199</v>
      </c>
      <c r="E15">
        <v>3.8666091539665561E-7</v>
      </c>
      <c r="F15">
        <f t="shared" si="3"/>
        <v>7.7332183079331131E-3</v>
      </c>
      <c r="G15">
        <f t="shared" si="4"/>
        <v>7.7332183079331131E-3</v>
      </c>
      <c r="H15">
        <f t="shared" si="5"/>
        <v>1.6110871474860652E-3</v>
      </c>
      <c r="I15">
        <f t="shared" si="0"/>
        <v>-6.4308460809766128</v>
      </c>
      <c r="R15" s="13"/>
      <c r="T15" s="2" t="s">
        <v>33</v>
      </c>
      <c r="U15" s="2">
        <v>-22776</v>
      </c>
      <c r="V15" s="2"/>
      <c r="W15" s="13"/>
      <c r="Y15" s="13"/>
    </row>
    <row r="16" spans="1:27">
      <c r="A16">
        <v>425</v>
      </c>
      <c r="B16">
        <f t="shared" si="1"/>
        <v>698</v>
      </c>
      <c r="C16">
        <f t="shared" si="2"/>
        <v>1.4326647564469914E-3</v>
      </c>
      <c r="D16">
        <v>91.34192428138401</v>
      </c>
      <c r="E16">
        <v>5.401998651695479E-7</v>
      </c>
      <c r="F16">
        <f t="shared" si="3"/>
        <v>1.0803997303390959E-2</v>
      </c>
      <c r="G16">
        <f t="shared" si="4"/>
        <v>1.0803997303390959E-2</v>
      </c>
      <c r="H16">
        <f t="shared" si="5"/>
        <v>2.2508327715397834E-3</v>
      </c>
      <c r="I16">
        <f t="shared" si="0"/>
        <v>-6.0964550105592243</v>
      </c>
      <c r="R16" s="13"/>
      <c r="T16" s="2" t="s">
        <v>34</v>
      </c>
      <c r="U16" s="2">
        <f>U15*-8.314</f>
        <v>189359.66399999999</v>
      </c>
      <c r="V16" s="2" t="s">
        <v>18</v>
      </c>
      <c r="W16" s="13"/>
      <c r="Y16" s="13"/>
    </row>
    <row r="17" spans="1:22">
      <c r="A17">
        <v>450</v>
      </c>
      <c r="B17">
        <f t="shared" si="1"/>
        <v>723</v>
      </c>
      <c r="C17">
        <f t="shared" si="2"/>
        <v>1.3831258644536654E-3</v>
      </c>
      <c r="D17">
        <v>98.160458704659689</v>
      </c>
      <c r="E17">
        <v>6.8007304454380585E-7</v>
      </c>
      <c r="F17">
        <f t="shared" si="3"/>
        <v>1.3601460890876117E-2</v>
      </c>
      <c r="G17">
        <f t="shared" si="4"/>
        <v>1.3601460890876117E-2</v>
      </c>
      <c r="H17">
        <f t="shared" si="5"/>
        <v>2.8336376855991911E-3</v>
      </c>
      <c r="I17">
        <f t="shared" si="0"/>
        <v>-5.8661939914761509</v>
      </c>
      <c r="T17" s="2"/>
      <c r="U17" s="2">
        <f>U16/1000</f>
        <v>189.35966399999998</v>
      </c>
      <c r="V17" s="2" t="s">
        <v>19</v>
      </c>
    </row>
    <row r="19" spans="1:22">
      <c r="E19" s="9"/>
      <c r="M19" s="11"/>
      <c r="S19">
        <v>300</v>
      </c>
    </row>
    <row r="20" spans="1:22">
      <c r="S20">
        <v>325</v>
      </c>
    </row>
    <row r="21" spans="1:22">
      <c r="H21" s="2" t="s">
        <v>39</v>
      </c>
      <c r="I21" s="2"/>
      <c r="J21" s="2"/>
      <c r="S21">
        <v>350</v>
      </c>
    </row>
    <row r="22" spans="1:22">
      <c r="H22" s="2" t="s">
        <v>33</v>
      </c>
      <c r="I22" s="2">
        <v>-16557</v>
      </c>
      <c r="J22" s="2"/>
      <c r="S22">
        <v>375</v>
      </c>
    </row>
    <row r="23" spans="1:22">
      <c r="H23" s="2" t="s">
        <v>34</v>
      </c>
      <c r="I23" s="2">
        <f>I22*-8.314</f>
        <v>137654.89799999999</v>
      </c>
      <c r="J23" s="2" t="s">
        <v>18</v>
      </c>
      <c r="S23">
        <v>390</v>
      </c>
    </row>
    <row r="24" spans="1:22">
      <c r="H24" s="2"/>
      <c r="I24" s="2">
        <f>I23/1000</f>
        <v>137.65489799999997</v>
      </c>
      <c r="J24" s="2" t="s">
        <v>19</v>
      </c>
      <c r="S24">
        <v>400</v>
      </c>
    </row>
    <row r="25" spans="1:22">
      <c r="S25">
        <v>410</v>
      </c>
    </row>
    <row r="26" spans="1:22">
      <c r="H26" s="12" t="s">
        <v>41</v>
      </c>
      <c r="I26" s="12"/>
      <c r="J26" s="12"/>
      <c r="S26">
        <v>425</v>
      </c>
    </row>
    <row r="27" spans="1:22">
      <c r="H27" s="12" t="s">
        <v>33</v>
      </c>
      <c r="I27" s="12">
        <v>-10968</v>
      </c>
      <c r="J27" s="12"/>
      <c r="S27">
        <v>450</v>
      </c>
    </row>
    <row r="28" spans="1:22">
      <c r="H28" s="12" t="s">
        <v>34</v>
      </c>
      <c r="I28" s="12">
        <f>I27*-8.314</f>
        <v>91187.952000000005</v>
      </c>
      <c r="J28" s="12" t="s">
        <v>18</v>
      </c>
    </row>
    <row r="29" spans="1:22">
      <c r="H29" s="12"/>
      <c r="I29" s="12">
        <f>I28/1000</f>
        <v>91.18795200000001</v>
      </c>
      <c r="J29" s="12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U17" sqref="U17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40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-14734</v>
      </c>
      <c r="V5" s="2"/>
      <c r="W5" s="13"/>
      <c r="Y5" s="13"/>
    </row>
    <row r="6" spans="1:27">
      <c r="A6" s="2" t="s">
        <v>25</v>
      </c>
      <c r="B6" s="2" t="s">
        <v>26</v>
      </c>
      <c r="F6" s="2"/>
      <c r="R6" s="13"/>
      <c r="S6" s="13"/>
      <c r="T6" s="2" t="s">
        <v>34</v>
      </c>
      <c r="U6" s="2">
        <f>U5*-8.314</f>
        <v>122498.476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122.498476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T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 s="13">
        <v>0</v>
      </c>
      <c r="E9">
        <v>0</v>
      </c>
      <c r="F9">
        <f>(E9/50)*1000000</f>
        <v>0</v>
      </c>
      <c r="G9">
        <f>F9</f>
        <v>0</v>
      </c>
      <c r="H9">
        <f>G9/4.8</f>
        <v>0</v>
      </c>
      <c r="I9" t="e">
        <f t="shared" ref="I9:I17" si="0">LN(H9)</f>
        <v>#NUM!</v>
      </c>
      <c r="R9" s="13"/>
      <c r="S9" s="13"/>
      <c r="T9" s="2" t="s">
        <v>44</v>
      </c>
      <c r="U9" s="2"/>
      <c r="V9" s="2"/>
      <c r="W9" s="13"/>
      <c r="Y9" s="13"/>
    </row>
    <row r="10" spans="1:27">
      <c r="A10">
        <v>325</v>
      </c>
      <c r="B10">
        <f t="shared" ref="B10:B17" si="1">A10+273</f>
        <v>598</v>
      </c>
      <c r="C10">
        <f t="shared" ref="C10:C17" si="2">1/B10</f>
        <v>1.6722408026755853E-3</v>
      </c>
      <c r="D10">
        <v>3.0617553509342343</v>
      </c>
      <c r="E10">
        <v>1.6345333221896042E-9</v>
      </c>
      <c r="F10">
        <f t="shared" ref="F10:F17" si="3">(E10/50)*1000000</f>
        <v>3.269066644379208E-5</v>
      </c>
      <c r="G10">
        <f t="shared" ref="G10:G17" si="4">F10</f>
        <v>3.269066644379208E-5</v>
      </c>
      <c r="H10">
        <f t="shared" ref="H10:H17" si="5">G10/4.8</f>
        <v>6.8105555091233499E-6</v>
      </c>
      <c r="I10">
        <f t="shared" si="0"/>
        <v>-11.897036868571218</v>
      </c>
      <c r="R10" s="13"/>
      <c r="S10" s="13"/>
      <c r="T10" s="2" t="s">
        <v>33</v>
      </c>
      <c r="U10" s="2">
        <v>-12759</v>
      </c>
      <c r="V10" s="2"/>
      <c r="W10" s="13"/>
      <c r="Y10" s="13"/>
    </row>
    <row r="11" spans="1:27">
      <c r="A11">
        <v>350</v>
      </c>
      <c r="B11">
        <f t="shared" si="1"/>
        <v>623</v>
      </c>
      <c r="C11">
        <f t="shared" si="2"/>
        <v>1.6051364365971107E-3</v>
      </c>
      <c r="D11">
        <v>8.2633196979572663</v>
      </c>
      <c r="E11">
        <v>2.5589824962148721E-8</v>
      </c>
      <c r="F11">
        <f t="shared" si="3"/>
        <v>5.1179649924297434E-4</v>
      </c>
      <c r="G11">
        <f t="shared" si="4"/>
        <v>5.1179649924297434E-4</v>
      </c>
      <c r="H11">
        <f t="shared" si="5"/>
        <v>1.0662427067561965E-4</v>
      </c>
      <c r="I11">
        <f t="shared" si="0"/>
        <v>-9.1461993922637994</v>
      </c>
      <c r="R11" s="13"/>
      <c r="T11" s="2" t="s">
        <v>34</v>
      </c>
      <c r="U11" s="2">
        <f>U10*-8.314</f>
        <v>106078.326</v>
      </c>
      <c r="V11" s="2" t="s">
        <v>18</v>
      </c>
      <c r="W11" s="13"/>
      <c r="Y11" s="13"/>
    </row>
    <row r="12" spans="1:27">
      <c r="A12">
        <v>375</v>
      </c>
      <c r="B12">
        <f t="shared" si="1"/>
        <v>648</v>
      </c>
      <c r="C12">
        <f t="shared" si="2"/>
        <v>1.5432098765432098E-3</v>
      </c>
      <c r="D12">
        <v>27.367246936114622</v>
      </c>
      <c r="E12">
        <v>9.0837179708569804E-8</v>
      </c>
      <c r="F12">
        <f t="shared" si="3"/>
        <v>1.8167435941713961E-3</v>
      </c>
      <c r="G12">
        <f t="shared" si="4"/>
        <v>1.8167435941713961E-3</v>
      </c>
      <c r="H12">
        <f t="shared" si="5"/>
        <v>3.7848824878570754E-4</v>
      </c>
      <c r="I12">
        <f t="shared" si="0"/>
        <v>-7.879325532370034</v>
      </c>
      <c r="R12" s="13"/>
      <c r="T12" s="2"/>
      <c r="U12" s="2">
        <f>U11/1000</f>
        <v>106.078326</v>
      </c>
      <c r="V12" s="2" t="s">
        <v>19</v>
      </c>
      <c r="W12" s="13"/>
      <c r="Y12" s="13"/>
    </row>
    <row r="13" spans="1:27">
      <c r="A13">
        <v>390</v>
      </c>
      <c r="B13">
        <f t="shared" si="1"/>
        <v>663</v>
      </c>
      <c r="C13">
        <f t="shared" si="2"/>
        <v>1.5082956259426848E-3</v>
      </c>
      <c r="D13">
        <v>40.56030559810943</v>
      </c>
      <c r="E13">
        <v>1.3665770398634394E-7</v>
      </c>
      <c r="F13">
        <f t="shared" si="3"/>
        <v>2.733154079726879E-3</v>
      </c>
      <c r="G13">
        <f t="shared" si="4"/>
        <v>2.733154079726879E-3</v>
      </c>
      <c r="H13">
        <f t="shared" si="5"/>
        <v>5.6940709994309977E-4</v>
      </c>
      <c r="I13">
        <f t="shared" si="0"/>
        <v>-7.4709149140321127</v>
      </c>
      <c r="R13" s="13"/>
      <c r="W13" s="13"/>
      <c r="Y13" s="13"/>
    </row>
    <row r="14" spans="1:27">
      <c r="A14">
        <v>400</v>
      </c>
      <c r="B14">
        <f t="shared" si="1"/>
        <v>673</v>
      </c>
      <c r="C14">
        <f t="shared" si="2"/>
        <v>1.4858841010401188E-3</v>
      </c>
      <c r="D14">
        <v>46.423887225662675</v>
      </c>
      <c r="E14">
        <v>1.3853339796262708E-7</v>
      </c>
      <c r="F14">
        <f t="shared" si="3"/>
        <v>2.7706679592525416E-3</v>
      </c>
      <c r="G14">
        <f t="shared" si="4"/>
        <v>2.7706679592525416E-3</v>
      </c>
      <c r="H14">
        <f t="shared" si="5"/>
        <v>5.7722249151094616E-4</v>
      </c>
      <c r="I14">
        <f t="shared" si="0"/>
        <v>-7.4572827652420548</v>
      </c>
      <c r="R14" s="13"/>
      <c r="T14" s="2" t="s">
        <v>45</v>
      </c>
      <c r="U14" s="2"/>
      <c r="V14" s="2"/>
      <c r="W14" s="13"/>
      <c r="Y14" s="13"/>
    </row>
    <row r="15" spans="1:27">
      <c r="A15">
        <v>410</v>
      </c>
      <c r="B15">
        <f t="shared" si="1"/>
        <v>683</v>
      </c>
      <c r="C15">
        <f t="shared" si="2"/>
        <v>1.4641288433382138E-3</v>
      </c>
      <c r="D15">
        <v>54.368094592025138</v>
      </c>
      <c r="E15">
        <v>1.9239261071018621E-7</v>
      </c>
      <c r="F15">
        <f t="shared" si="3"/>
        <v>3.8478522142037243E-3</v>
      </c>
      <c r="G15">
        <f t="shared" si="4"/>
        <v>3.8478522142037243E-3</v>
      </c>
      <c r="H15">
        <f t="shared" si="5"/>
        <v>8.0163587795910925E-4</v>
      </c>
      <c r="I15">
        <f t="shared" si="0"/>
        <v>-7.1288560707022599</v>
      </c>
      <c r="R15" s="13"/>
      <c r="T15" s="2" t="s">
        <v>33</v>
      </c>
      <c r="U15" s="2">
        <v>-8794.7999999999993</v>
      </c>
      <c r="V15" s="2"/>
      <c r="W15" s="13"/>
      <c r="Y15" s="13"/>
    </row>
    <row r="16" spans="1:27">
      <c r="A16">
        <v>425</v>
      </c>
      <c r="B16">
        <f t="shared" si="1"/>
        <v>698</v>
      </c>
      <c r="C16">
        <f t="shared" si="2"/>
        <v>1.4326647564469914E-3</v>
      </c>
      <c r="D16">
        <v>77.373195090449769</v>
      </c>
      <c r="E16">
        <v>4.1104493708833661E-7</v>
      </c>
      <c r="F16">
        <f t="shared" si="3"/>
        <v>8.2208987417667322E-3</v>
      </c>
      <c r="G16">
        <f t="shared" si="4"/>
        <v>8.2208987417667322E-3</v>
      </c>
      <c r="H16">
        <f t="shared" si="5"/>
        <v>1.7126872378680693E-3</v>
      </c>
      <c r="I16">
        <f t="shared" si="0"/>
        <v>-6.3696916578232825</v>
      </c>
      <c r="R16" s="13"/>
      <c r="T16" s="2" t="s">
        <v>34</v>
      </c>
      <c r="U16" s="2">
        <f>U15*-8.314</f>
        <v>73119.967199999999</v>
      </c>
      <c r="V16" s="2" t="s">
        <v>18</v>
      </c>
      <c r="W16" s="13"/>
      <c r="Y16" s="13"/>
    </row>
    <row r="17" spans="1:22">
      <c r="A17">
        <v>450</v>
      </c>
      <c r="B17">
        <f t="shared" si="1"/>
        <v>723</v>
      </c>
      <c r="C17">
        <f t="shared" si="2"/>
        <v>1.3831258644536654E-3</v>
      </c>
      <c r="D17">
        <v>94.554907867639074</v>
      </c>
      <c r="E17">
        <v>6.1228010511528615E-7</v>
      </c>
      <c r="F17">
        <f t="shared" si="3"/>
        <v>1.2245602102305722E-2</v>
      </c>
      <c r="G17">
        <f t="shared" si="4"/>
        <v>1.2245602102305722E-2</v>
      </c>
      <c r="H17">
        <f t="shared" si="5"/>
        <v>2.5511671046470254E-3</v>
      </c>
      <c r="I17">
        <f t="shared" si="0"/>
        <v>-5.9712043364221792</v>
      </c>
      <c r="T17" s="2"/>
      <c r="U17" s="2">
        <f>U16/1000</f>
        <v>73.119967200000005</v>
      </c>
      <c r="V17" s="2" t="s">
        <v>19</v>
      </c>
    </row>
    <row r="19" spans="1:22">
      <c r="E19" s="9"/>
      <c r="M19" s="11"/>
    </row>
    <row r="21" spans="1:22">
      <c r="H21" s="2" t="s">
        <v>39</v>
      </c>
      <c r="I21" s="2"/>
      <c r="J21" s="2"/>
    </row>
    <row r="22" spans="1:22">
      <c r="H22" s="2" t="s">
        <v>33</v>
      </c>
      <c r="I22" s="2">
        <v>-14822</v>
      </c>
      <c r="J22" s="2"/>
    </row>
    <row r="23" spans="1:22">
      <c r="H23" s="2" t="s">
        <v>34</v>
      </c>
      <c r="I23" s="2">
        <f>I22*-8.314</f>
        <v>123230.10800000001</v>
      </c>
      <c r="J23" s="2" t="s">
        <v>18</v>
      </c>
    </row>
    <row r="24" spans="1:22">
      <c r="H24" s="2"/>
      <c r="I24" s="2">
        <f>I23/1000</f>
        <v>123.230108</v>
      </c>
      <c r="J24" s="2" t="s">
        <v>19</v>
      </c>
    </row>
    <row r="26" spans="1:22">
      <c r="H26" s="12" t="s">
        <v>41</v>
      </c>
      <c r="I26" s="12"/>
      <c r="J26" s="12"/>
    </row>
    <row r="27" spans="1:22">
      <c r="H27" s="12" t="s">
        <v>33</v>
      </c>
      <c r="I27" s="12">
        <v>-13732</v>
      </c>
      <c r="J27" s="12"/>
    </row>
    <row r="28" spans="1:22">
      <c r="H28" s="12" t="s">
        <v>34</v>
      </c>
      <c r="I28" s="12">
        <f>I27*-8.314</f>
        <v>114167.848</v>
      </c>
      <c r="J28" s="12" t="s">
        <v>18</v>
      </c>
    </row>
    <row r="29" spans="1:22">
      <c r="H29" s="12"/>
      <c r="I29" s="12">
        <f>I28/1000</f>
        <v>114.16784799999999</v>
      </c>
      <c r="J29" s="12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D38" sqref="D38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40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-13705</v>
      </c>
      <c r="V5" s="2"/>
      <c r="W5" s="13"/>
      <c r="Y5" s="13"/>
    </row>
    <row r="6" spans="1:27">
      <c r="A6" s="2" t="s">
        <v>25</v>
      </c>
      <c r="B6" s="2" t="s">
        <v>26</v>
      </c>
      <c r="F6" s="2"/>
      <c r="R6" s="13"/>
      <c r="S6" s="13"/>
      <c r="T6" s="2" t="s">
        <v>34</v>
      </c>
      <c r="U6" s="2">
        <f>U5*-8.314</f>
        <v>113943.37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113.94337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T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>
        <v>0</v>
      </c>
      <c r="E9">
        <v>0</v>
      </c>
      <c r="F9">
        <f>(E9/50)*1000000</f>
        <v>0</v>
      </c>
      <c r="G9">
        <f>F9</f>
        <v>0</v>
      </c>
      <c r="H9">
        <f>G9/4.8</f>
        <v>0</v>
      </c>
      <c r="I9" t="e">
        <f t="shared" ref="I9:I17" si="0">LN(H9)</f>
        <v>#NUM!</v>
      </c>
      <c r="R9" s="13"/>
      <c r="S9" s="13"/>
      <c r="T9" s="2" t="s">
        <v>44</v>
      </c>
      <c r="U9" s="2"/>
      <c r="V9" s="2"/>
      <c r="W9" s="13"/>
      <c r="Y9" s="13"/>
    </row>
    <row r="10" spans="1:27">
      <c r="A10">
        <v>325</v>
      </c>
      <c r="B10">
        <f t="shared" ref="B10:B17" si="1">A10+273</f>
        <v>598</v>
      </c>
      <c r="C10">
        <f t="shared" ref="C10:C17" si="2">1/B10</f>
        <v>1.6722408026755853E-3</v>
      </c>
      <c r="D10">
        <v>0.76505492072237757</v>
      </c>
      <c r="E10">
        <v>5.6270819288494574E-10</v>
      </c>
      <c r="F10">
        <f t="shared" ref="F10:F17" si="3">(E10/50)*1000000</f>
        <v>1.1254163857698915E-5</v>
      </c>
      <c r="G10">
        <f t="shared" ref="G10:G17" si="4">F10</f>
        <v>1.1254163857698915E-5</v>
      </c>
      <c r="H10">
        <f t="shared" ref="H10:H17" si="5">G10/4.8</f>
        <v>2.3446174703539408E-6</v>
      </c>
      <c r="I10">
        <f t="shared" si="0"/>
        <v>-12.963388295021106</v>
      </c>
      <c r="R10" s="13"/>
      <c r="S10" s="13"/>
      <c r="T10" s="2" t="s">
        <v>33</v>
      </c>
      <c r="U10" s="2">
        <v>-8478.7999999999993</v>
      </c>
      <c r="V10" s="2"/>
      <c r="W10" s="13"/>
      <c r="Y10" s="13"/>
    </row>
    <row r="11" spans="1:27">
      <c r="A11">
        <v>350</v>
      </c>
      <c r="B11">
        <f t="shared" si="1"/>
        <v>623</v>
      </c>
      <c r="C11">
        <f t="shared" si="2"/>
        <v>1.6051364365971107E-3</v>
      </c>
      <c r="D11">
        <v>3.492396282156482</v>
      </c>
      <c r="E11">
        <v>1.5943398798406795E-8</v>
      </c>
      <c r="F11">
        <f t="shared" si="3"/>
        <v>3.1886797596813587E-4</v>
      </c>
      <c r="G11">
        <f t="shared" si="4"/>
        <v>3.1886797596813587E-4</v>
      </c>
      <c r="H11">
        <f t="shared" si="5"/>
        <v>6.6430828326694981E-5</v>
      </c>
      <c r="I11">
        <f t="shared" si="0"/>
        <v>-9.6193493271989006</v>
      </c>
      <c r="R11" s="13"/>
      <c r="T11" s="2" t="s">
        <v>34</v>
      </c>
      <c r="U11" s="2">
        <f>U10*-8.314</f>
        <v>70492.743199999997</v>
      </c>
      <c r="V11" s="2" t="s">
        <v>18</v>
      </c>
      <c r="W11" s="13"/>
      <c r="Y11" s="13"/>
    </row>
    <row r="12" spans="1:27">
      <c r="A12">
        <v>375</v>
      </c>
      <c r="B12">
        <f t="shared" si="1"/>
        <v>648</v>
      </c>
      <c r="C12">
        <f t="shared" si="2"/>
        <v>1.5432098765432098E-3</v>
      </c>
      <c r="D12">
        <v>17.314457172691608</v>
      </c>
      <c r="E12">
        <v>7.1785488035179489E-8</v>
      </c>
      <c r="F12">
        <f t="shared" si="3"/>
        <v>1.4357097607035898E-3</v>
      </c>
      <c r="G12">
        <f t="shared" si="4"/>
        <v>1.4357097607035898E-3</v>
      </c>
      <c r="H12">
        <f t="shared" si="5"/>
        <v>2.9910620014658121E-4</v>
      </c>
      <c r="I12">
        <f t="shared" si="0"/>
        <v>-8.1147118631999202</v>
      </c>
      <c r="R12" s="13"/>
      <c r="T12" s="2"/>
      <c r="U12" s="2">
        <f>U11/1000</f>
        <v>70.492743199999992</v>
      </c>
      <c r="V12" s="2" t="s">
        <v>19</v>
      </c>
      <c r="W12" s="13"/>
      <c r="Y12" s="13"/>
    </row>
    <row r="13" spans="1:27">
      <c r="A13">
        <v>390</v>
      </c>
      <c r="B13">
        <f t="shared" si="1"/>
        <v>663</v>
      </c>
      <c r="C13">
        <f t="shared" si="2"/>
        <v>1.5082956259426848E-3</v>
      </c>
      <c r="D13">
        <v>26.817124034934519</v>
      </c>
      <c r="E13">
        <v>9.9947693307659401E-8</v>
      </c>
      <c r="F13">
        <f t="shared" si="3"/>
        <v>1.9989538661531882E-3</v>
      </c>
      <c r="G13">
        <f t="shared" si="4"/>
        <v>1.9989538661531882E-3</v>
      </c>
      <c r="H13">
        <f t="shared" si="5"/>
        <v>4.1644872211524757E-4</v>
      </c>
      <c r="I13">
        <f t="shared" si="0"/>
        <v>-7.783747220106668</v>
      </c>
      <c r="R13" s="13"/>
      <c r="W13" s="13"/>
      <c r="Y13" s="13"/>
    </row>
    <row r="14" spans="1:27">
      <c r="A14">
        <v>400</v>
      </c>
      <c r="B14">
        <f t="shared" si="1"/>
        <v>673</v>
      </c>
      <c r="C14">
        <f t="shared" si="2"/>
        <v>1.4858841010401188E-3</v>
      </c>
      <c r="D14">
        <v>34.715444543811735</v>
      </c>
      <c r="E14">
        <v>1.1548915768257694E-7</v>
      </c>
      <c r="F14">
        <f t="shared" si="3"/>
        <v>2.3097831536515387E-3</v>
      </c>
      <c r="G14">
        <f t="shared" si="4"/>
        <v>2.3097831536515387E-3</v>
      </c>
      <c r="H14">
        <f t="shared" si="5"/>
        <v>4.8120482367740389E-4</v>
      </c>
      <c r="I14">
        <f t="shared" si="0"/>
        <v>-7.6392175496467365</v>
      </c>
      <c r="R14" s="13"/>
      <c r="T14" s="2" t="s">
        <v>44</v>
      </c>
      <c r="U14" s="2"/>
      <c r="V14" s="2"/>
      <c r="W14" s="13"/>
      <c r="Y14" s="13"/>
    </row>
    <row r="15" spans="1:27">
      <c r="A15">
        <v>410</v>
      </c>
      <c r="B15">
        <f t="shared" si="1"/>
        <v>683</v>
      </c>
      <c r="C15">
        <f t="shared" si="2"/>
        <v>1.4641288433382138E-3</v>
      </c>
      <c r="D15">
        <v>41.478381479537859</v>
      </c>
      <c r="E15">
        <v>1.4898369297334753E-7</v>
      </c>
      <c r="F15">
        <f t="shared" si="3"/>
        <v>2.9796738594669507E-3</v>
      </c>
      <c r="G15">
        <f t="shared" si="4"/>
        <v>2.9796738594669507E-3</v>
      </c>
      <c r="H15">
        <f t="shared" si="5"/>
        <v>6.2076538738894808E-4</v>
      </c>
      <c r="I15">
        <f t="shared" si="0"/>
        <v>-7.3845573454999016</v>
      </c>
      <c r="R15" s="13"/>
      <c r="T15" s="2" t="s">
        <v>33</v>
      </c>
      <c r="U15" s="2">
        <v>-8478.7999999999993</v>
      </c>
      <c r="V15" s="2"/>
      <c r="W15" s="13"/>
      <c r="Y15" s="13"/>
    </row>
    <row r="16" spans="1:27">
      <c r="A16">
        <v>425</v>
      </c>
      <c r="B16">
        <f t="shared" si="1"/>
        <v>698</v>
      </c>
      <c r="C16">
        <f t="shared" si="2"/>
        <v>1.4326647564469914E-3</v>
      </c>
      <c r="D16">
        <v>58.681910837936051</v>
      </c>
      <c r="E16">
        <v>1.8127242499365037E-7</v>
      </c>
      <c r="F16">
        <f t="shared" si="3"/>
        <v>3.625448499873007E-3</v>
      </c>
      <c r="G16">
        <f t="shared" si="4"/>
        <v>3.625448499873007E-3</v>
      </c>
      <c r="H16">
        <f t="shared" si="5"/>
        <v>7.5530177080687644E-4</v>
      </c>
      <c r="I16">
        <f t="shared" si="0"/>
        <v>-7.1883931921396416</v>
      </c>
      <c r="R16" s="13"/>
      <c r="T16" s="2" t="s">
        <v>34</v>
      </c>
      <c r="U16" s="2">
        <f>U15*-8.314</f>
        <v>70492.743199999997</v>
      </c>
      <c r="V16" s="2" t="s">
        <v>18</v>
      </c>
      <c r="W16" s="13"/>
      <c r="Y16" s="13"/>
    </row>
    <row r="17" spans="1:22">
      <c r="A17">
        <v>450</v>
      </c>
      <c r="B17">
        <f t="shared" si="1"/>
        <v>723</v>
      </c>
      <c r="C17">
        <f t="shared" si="2"/>
        <v>1.3831258644536654E-3</v>
      </c>
      <c r="D17">
        <v>84.616786696382107</v>
      </c>
      <c r="E17">
        <v>4.3308434130966358E-7</v>
      </c>
      <c r="F17">
        <f t="shared" si="3"/>
        <v>8.6616868261932701E-3</v>
      </c>
      <c r="G17">
        <f t="shared" si="4"/>
        <v>8.6616868261932701E-3</v>
      </c>
      <c r="H17">
        <f t="shared" si="5"/>
        <v>1.8045180887902646E-3</v>
      </c>
      <c r="I17">
        <f t="shared" si="0"/>
        <v>-6.3174617096644168</v>
      </c>
      <c r="T17" s="2"/>
      <c r="U17" s="2">
        <f>U16/1000</f>
        <v>70.492743199999992</v>
      </c>
      <c r="V17" s="2" t="s">
        <v>19</v>
      </c>
    </row>
    <row r="19" spans="1:22">
      <c r="E19" s="9"/>
    </row>
    <row r="21" spans="1:22">
      <c r="H21" s="2" t="s">
        <v>39</v>
      </c>
      <c r="I21" s="2"/>
      <c r="J21" s="2"/>
    </row>
    <row r="22" spans="1:22">
      <c r="H22" s="2" t="s">
        <v>33</v>
      </c>
      <c r="I22" s="2">
        <v>-19574</v>
      </c>
      <c r="J22" s="2"/>
    </row>
    <row r="23" spans="1:22">
      <c r="H23" s="2" t="s">
        <v>34</v>
      </c>
      <c r="I23" s="2">
        <f>I22*-8.314</f>
        <v>162738.236</v>
      </c>
      <c r="J23" s="2" t="s">
        <v>18</v>
      </c>
    </row>
    <row r="24" spans="1:22">
      <c r="H24" s="2"/>
      <c r="I24" s="2">
        <f>I23/1000</f>
        <v>162.738236</v>
      </c>
      <c r="J24" s="2" t="s">
        <v>19</v>
      </c>
    </row>
    <row r="26" spans="1:22">
      <c r="H26" s="12" t="s">
        <v>41</v>
      </c>
      <c r="I26" s="12"/>
      <c r="J26" s="12"/>
    </row>
    <row r="27" spans="1:22">
      <c r="H27" s="12" t="s">
        <v>33</v>
      </c>
      <c r="I27" s="12">
        <v>-13732</v>
      </c>
      <c r="J27" s="12"/>
    </row>
    <row r="28" spans="1:22">
      <c r="H28" s="12" t="s">
        <v>34</v>
      </c>
      <c r="I28" s="12">
        <f>I27*-8.314</f>
        <v>114167.848</v>
      </c>
      <c r="J28" s="12" t="s">
        <v>18</v>
      </c>
    </row>
    <row r="29" spans="1:22">
      <c r="H29" s="12"/>
      <c r="I29" s="12">
        <f>I28/1000</f>
        <v>114.16784799999999</v>
      </c>
      <c r="J29" s="12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B38" sqref="B38"/>
    </sheetView>
  </sheetViews>
  <sheetFormatPr defaultRowHeight="15"/>
  <sheetData>
    <row r="1" spans="1:11">
      <c r="A1" s="3" t="s">
        <v>9</v>
      </c>
      <c r="B1" s="4">
        <v>477</v>
      </c>
      <c r="C1" s="4">
        <v>523</v>
      </c>
      <c r="D1" s="4">
        <v>577</v>
      </c>
      <c r="E1" s="4">
        <v>623</v>
      </c>
    </row>
    <row r="2" spans="1:11" ht="42.75">
      <c r="A2" s="3" t="s">
        <v>10</v>
      </c>
      <c r="B2" s="5">
        <v>1.33</v>
      </c>
      <c r="C2" s="5">
        <v>1.25</v>
      </c>
      <c r="D2" s="5">
        <v>1.18</v>
      </c>
      <c r="E2" s="5">
        <v>1.1100000000000001</v>
      </c>
    </row>
    <row r="3" spans="1:11">
      <c r="A3" s="6" t="s">
        <v>11</v>
      </c>
      <c r="B3" s="4">
        <v>1.8000000000000001E-4</v>
      </c>
      <c r="C3" s="4">
        <v>2.7000000000000001E-3</v>
      </c>
      <c r="D3" s="4">
        <v>0.03</v>
      </c>
      <c r="E3" s="4">
        <v>0.26</v>
      </c>
    </row>
    <row r="4" spans="1:11">
      <c r="A4" s="3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H4" s="5">
        <v>-8.6199999999999992</v>
      </c>
      <c r="I4" s="5">
        <v>-5.92</v>
      </c>
      <c r="J4" s="5">
        <v>-3.51</v>
      </c>
      <c r="K4" s="5">
        <v>-1.35</v>
      </c>
    </row>
    <row r="5" spans="1:11">
      <c r="A5" s="7" t="s">
        <v>8</v>
      </c>
      <c r="B5">
        <f>B2/1000</f>
        <v>1.33E-3</v>
      </c>
      <c r="C5">
        <f>C2/1000</f>
        <v>1.25E-3</v>
      </c>
      <c r="D5">
        <f>D2/1000</f>
        <v>1.1799999999999998E-3</v>
      </c>
      <c r="E5">
        <f>E2/1000</f>
        <v>1.1100000000000001E-3</v>
      </c>
      <c r="H5">
        <v>1.33E-3</v>
      </c>
      <c r="I5">
        <v>1.25E-3</v>
      </c>
      <c r="J5">
        <v>1.1799999999999998E-3</v>
      </c>
      <c r="K5">
        <v>1.1100000000000001E-3</v>
      </c>
    </row>
    <row r="19" spans="6:7">
      <c r="F19">
        <f>-(8.314)*-(33000)</f>
        <v>274362</v>
      </c>
      <c r="G19" t="s">
        <v>18</v>
      </c>
    </row>
    <row r="20" spans="6:7">
      <c r="F20">
        <f>F19/1000</f>
        <v>274.36200000000002</v>
      </c>
      <c r="G20" t="s">
        <v>19</v>
      </c>
    </row>
    <row r="22" spans="6:7">
      <c r="G22">
        <f>3.3*10000</f>
        <v>33000</v>
      </c>
    </row>
    <row r="23" spans="6:7" ht="17.25">
      <c r="G23" t="s">
        <v>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"/>
  <sheetViews>
    <sheetView topLeftCell="C4" zoomScale="106" zoomScaleNormal="106" workbookViewId="0">
      <selection activeCell="O32" sqref="O32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43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-12239</v>
      </c>
      <c r="V5" s="2"/>
      <c r="W5" s="13"/>
      <c r="Y5" s="13"/>
    </row>
    <row r="6" spans="1:27">
      <c r="A6" s="2"/>
      <c r="B6" s="2"/>
      <c r="F6" s="2"/>
      <c r="R6" s="13"/>
      <c r="S6" s="13"/>
      <c r="T6" s="2" t="s">
        <v>34</v>
      </c>
      <c r="U6" s="2">
        <f>U5*-8.314</f>
        <v>101755.046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101.75504600000001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T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 s="14">
        <v>0.78328981723237234</v>
      </c>
      <c r="F9">
        <f t="shared" ref="F9:F17" si="0">(E9/50)*1000000</f>
        <v>0</v>
      </c>
      <c r="G9">
        <f>F9</f>
        <v>0</v>
      </c>
      <c r="H9">
        <f>G9/4.8</f>
        <v>0</v>
      </c>
      <c r="I9" t="e">
        <f t="shared" ref="I9:I17" si="1">LN(H9)</f>
        <v>#NUM!</v>
      </c>
      <c r="R9" s="13"/>
      <c r="S9" s="13"/>
      <c r="T9" s="13"/>
      <c r="U9" s="13"/>
      <c r="V9" s="13"/>
      <c r="W9" s="13"/>
      <c r="Y9" s="13"/>
    </row>
    <row r="10" spans="1:27">
      <c r="A10">
        <v>325</v>
      </c>
      <c r="B10">
        <f t="shared" ref="B10:B17" si="2">A10+273</f>
        <v>598</v>
      </c>
      <c r="C10">
        <f t="shared" ref="C10:C17" si="3">1/B10</f>
        <v>1.6722408026755853E-3</v>
      </c>
      <c r="D10" s="14">
        <v>5.1348999129677964</v>
      </c>
      <c r="E10" s="15">
        <v>1.37E-8</v>
      </c>
      <c r="F10" s="15">
        <f t="shared" si="0"/>
        <v>2.7399999999999999E-4</v>
      </c>
      <c r="G10">
        <f t="shared" ref="G10:G17" si="4">F10</f>
        <v>2.7399999999999999E-4</v>
      </c>
      <c r="H10">
        <f t="shared" ref="H10:H17" si="5">G10/4.8</f>
        <v>5.7083333333333336E-5</v>
      </c>
      <c r="I10">
        <f t="shared" si="1"/>
        <v>-9.7709983694900497</v>
      </c>
      <c r="R10" s="13"/>
      <c r="S10" s="13"/>
      <c r="T10" s="2" t="s">
        <v>44</v>
      </c>
      <c r="U10" s="2"/>
      <c r="V10" s="2"/>
      <c r="W10" s="13"/>
      <c r="Y10" s="13"/>
    </row>
    <row r="11" spans="1:27">
      <c r="A11">
        <v>350</v>
      </c>
      <c r="B11">
        <f t="shared" si="2"/>
        <v>623</v>
      </c>
      <c r="C11">
        <f t="shared" si="3"/>
        <v>1.6051364365971107E-3</v>
      </c>
      <c r="D11" s="14">
        <v>10.139251523063528</v>
      </c>
      <c r="E11" s="15">
        <v>2.7600000000000002E-8</v>
      </c>
      <c r="F11" s="15">
        <f t="shared" si="0"/>
        <v>5.5200000000000008E-4</v>
      </c>
      <c r="G11">
        <f t="shared" si="4"/>
        <v>5.5200000000000008E-4</v>
      </c>
      <c r="H11">
        <f t="shared" si="5"/>
        <v>1.1500000000000002E-4</v>
      </c>
      <c r="I11">
        <f t="shared" si="1"/>
        <v>-9.0705784296010243</v>
      </c>
      <c r="R11" s="13"/>
      <c r="S11" s="13"/>
      <c r="T11" s="2" t="s">
        <v>33</v>
      </c>
      <c r="U11" s="2">
        <v>-9781</v>
      </c>
      <c r="V11" s="2"/>
      <c r="W11" s="13"/>
      <c r="Y11" s="13"/>
    </row>
    <row r="12" spans="1:27">
      <c r="A12">
        <v>375</v>
      </c>
      <c r="B12">
        <f t="shared" si="2"/>
        <v>648</v>
      </c>
      <c r="C12">
        <f t="shared" si="3"/>
        <v>1.5432098765432098E-3</v>
      </c>
      <c r="D12" s="14">
        <v>19.06005221932114</v>
      </c>
      <c r="E12" s="15">
        <v>6.8833333333333334E-8</v>
      </c>
      <c r="F12" s="15">
        <f t="shared" si="0"/>
        <v>1.3766666666666667E-3</v>
      </c>
      <c r="G12">
        <f t="shared" si="4"/>
        <v>1.3766666666666667E-3</v>
      </c>
      <c r="H12">
        <f t="shared" si="5"/>
        <v>2.8680555555555555E-4</v>
      </c>
      <c r="I12">
        <f t="shared" si="1"/>
        <v>-8.1567060785911512</v>
      </c>
      <c r="R12" s="13"/>
      <c r="S12" s="13"/>
      <c r="T12" s="2" t="s">
        <v>34</v>
      </c>
      <c r="U12" s="2">
        <f>U11*-8.314</f>
        <v>81319.233999999997</v>
      </c>
      <c r="V12" s="2" t="s">
        <v>18</v>
      </c>
      <c r="W12" s="13"/>
      <c r="Y12" s="13"/>
    </row>
    <row r="13" spans="1:27">
      <c r="A13">
        <v>390</v>
      </c>
      <c r="B13">
        <f t="shared" si="2"/>
        <v>663</v>
      </c>
      <c r="C13">
        <f t="shared" si="3"/>
        <v>1.5082956259426848E-3</v>
      </c>
      <c r="D13" s="14">
        <v>27.545691906005224</v>
      </c>
      <c r="E13" s="15">
        <v>1.0700000000000001E-7</v>
      </c>
      <c r="F13" s="15">
        <f t="shared" si="0"/>
        <v>2.14E-3</v>
      </c>
      <c r="G13">
        <f t="shared" si="4"/>
        <v>2.14E-3</v>
      </c>
      <c r="H13">
        <f t="shared" si="5"/>
        <v>4.4583333333333335E-4</v>
      </c>
      <c r="I13">
        <f t="shared" si="1"/>
        <v>-7.7155653678622222</v>
      </c>
      <c r="R13" s="13"/>
      <c r="S13" s="13"/>
      <c r="T13" s="2"/>
      <c r="U13" s="2">
        <f>U12/1000</f>
        <v>81.319233999999994</v>
      </c>
      <c r="V13" s="2" t="s">
        <v>19</v>
      </c>
      <c r="W13" s="13"/>
      <c r="Y13" s="13"/>
    </row>
    <row r="14" spans="1:27">
      <c r="A14">
        <v>400</v>
      </c>
      <c r="B14">
        <f t="shared" si="2"/>
        <v>673</v>
      </c>
      <c r="C14">
        <f t="shared" si="3"/>
        <v>1.4858841010401188E-3</v>
      </c>
      <c r="D14" s="14">
        <v>34.000580214679424</v>
      </c>
      <c r="E14" s="15">
        <v>1.4100000000000001E-7</v>
      </c>
      <c r="F14" s="15">
        <f t="shared" si="0"/>
        <v>2.82E-3</v>
      </c>
      <c r="G14">
        <f t="shared" si="4"/>
        <v>2.82E-3</v>
      </c>
      <c r="H14">
        <f t="shared" si="5"/>
        <v>5.8750000000000002E-4</v>
      </c>
      <c r="I14">
        <f t="shared" si="1"/>
        <v>-7.4396343119459605</v>
      </c>
      <c r="R14" s="13"/>
      <c r="S14" s="13"/>
      <c r="W14" s="13"/>
      <c r="Y14" s="13"/>
    </row>
    <row r="15" spans="1:27">
      <c r="A15">
        <v>410</v>
      </c>
      <c r="B15">
        <f t="shared" si="2"/>
        <v>683</v>
      </c>
      <c r="C15">
        <f t="shared" si="3"/>
        <v>1.4641288433382138E-3</v>
      </c>
      <c r="D15" s="14">
        <v>47.345517841601392</v>
      </c>
      <c r="E15" s="15">
        <v>1.755E-7</v>
      </c>
      <c r="F15" s="15">
        <f t="shared" si="0"/>
        <v>3.5100000000000001E-3</v>
      </c>
      <c r="G15">
        <f t="shared" si="4"/>
        <v>3.5100000000000001E-3</v>
      </c>
      <c r="H15">
        <f t="shared" si="5"/>
        <v>7.3125000000000002E-4</v>
      </c>
      <c r="I15">
        <f t="shared" si="1"/>
        <v>-7.220755159418208</v>
      </c>
      <c r="R15" s="13"/>
      <c r="S15" s="13"/>
      <c r="T15" s="2" t="s">
        <v>45</v>
      </c>
      <c r="U15" s="2"/>
      <c r="V15" s="2"/>
      <c r="W15" s="13"/>
      <c r="Y15" s="13"/>
    </row>
    <row r="16" spans="1:27">
      <c r="A16">
        <v>425</v>
      </c>
      <c r="B16">
        <f t="shared" si="2"/>
        <v>698</v>
      </c>
      <c r="C16">
        <f t="shared" si="3"/>
        <v>1.4326647564469914E-3</v>
      </c>
      <c r="D16" s="14">
        <v>66.05744125326369</v>
      </c>
      <c r="E16" s="15">
        <v>1.9666666666666665E-7</v>
      </c>
      <c r="F16" s="15">
        <f t="shared" si="0"/>
        <v>3.933333333333333E-3</v>
      </c>
      <c r="G16">
        <f t="shared" si="4"/>
        <v>3.933333333333333E-3</v>
      </c>
      <c r="H16">
        <f t="shared" si="5"/>
        <v>8.1944444444444437E-4</v>
      </c>
      <c r="I16">
        <f t="shared" si="1"/>
        <v>-7.1068839540924733</v>
      </c>
      <c r="R16" s="13"/>
      <c r="S16" s="13"/>
      <c r="T16" s="2" t="s">
        <v>33</v>
      </c>
      <c r="U16" s="2">
        <v>-11934</v>
      </c>
      <c r="V16" s="2"/>
      <c r="W16" s="13"/>
      <c r="Y16" s="13"/>
    </row>
    <row r="17" spans="1:22">
      <c r="A17">
        <v>450</v>
      </c>
      <c r="B17">
        <f t="shared" si="2"/>
        <v>723</v>
      </c>
      <c r="C17">
        <f t="shared" si="3"/>
        <v>1.3831258644536654E-3</v>
      </c>
      <c r="D17" s="14">
        <v>95.735422106179286</v>
      </c>
      <c r="E17" s="15">
        <v>5.6199999999999998E-7</v>
      </c>
      <c r="F17" s="15">
        <f t="shared" si="0"/>
        <v>1.124E-2</v>
      </c>
      <c r="G17">
        <f t="shared" si="4"/>
        <v>1.124E-2</v>
      </c>
      <c r="H17">
        <f t="shared" si="5"/>
        <v>2.3416666666666668E-3</v>
      </c>
      <c r="I17">
        <f t="shared" si="1"/>
        <v>-6.0568923524304372</v>
      </c>
      <c r="T17" s="2" t="s">
        <v>34</v>
      </c>
      <c r="U17" s="2">
        <f>U16*-8.314</f>
        <v>99219.275999999998</v>
      </c>
      <c r="V17" s="2" t="s">
        <v>18</v>
      </c>
    </row>
    <row r="18" spans="1:22">
      <c r="T18" s="2"/>
      <c r="U18" s="2">
        <f>U17/1000</f>
        <v>99.219275999999994</v>
      </c>
      <c r="V18" s="2" t="s">
        <v>19</v>
      </c>
    </row>
    <row r="19" spans="1:22">
      <c r="E19" s="9"/>
      <c r="M19" s="11"/>
    </row>
    <row r="21" spans="1:22">
      <c r="H21" s="2" t="s">
        <v>39</v>
      </c>
      <c r="I21" s="2"/>
      <c r="J21" s="2"/>
    </row>
    <row r="22" spans="1:22">
      <c r="H22" s="2" t="s">
        <v>33</v>
      </c>
      <c r="I22" s="2">
        <v>-14081</v>
      </c>
      <c r="J22" s="2"/>
    </row>
    <row r="23" spans="1:22">
      <c r="H23" s="2" t="s">
        <v>34</v>
      </c>
      <c r="I23" s="2">
        <f>I22*-8.314</f>
        <v>117069.43399999999</v>
      </c>
      <c r="J23" s="2" t="s">
        <v>18</v>
      </c>
    </row>
    <row r="24" spans="1:22">
      <c r="H24" s="2"/>
      <c r="I24" s="2">
        <f>I23/1000</f>
        <v>117.06943399999999</v>
      </c>
      <c r="J24" s="2" t="s">
        <v>19</v>
      </c>
    </row>
    <row r="26" spans="1:22">
      <c r="H26" s="12" t="s">
        <v>57</v>
      </c>
      <c r="I26" s="12"/>
      <c r="J26" s="12"/>
    </row>
    <row r="27" spans="1:22">
      <c r="H27" s="12" t="s">
        <v>33</v>
      </c>
      <c r="I27" s="12">
        <v>-6065</v>
      </c>
      <c r="J27" s="12"/>
    </row>
    <row r="28" spans="1:22">
      <c r="H28" s="12" t="s">
        <v>34</v>
      </c>
      <c r="I28" s="12">
        <f>I27*-8.314</f>
        <v>50424.41</v>
      </c>
      <c r="J28" s="12" t="s">
        <v>18</v>
      </c>
    </row>
    <row r="29" spans="1:22">
      <c r="H29" s="12"/>
      <c r="I29" s="12">
        <f>I28/1000</f>
        <v>50.424410000000002</v>
      </c>
      <c r="J29" s="12" t="s">
        <v>19</v>
      </c>
    </row>
    <row r="34" spans="14:14">
      <c r="N34" s="15"/>
    </row>
    <row r="35" spans="14:14">
      <c r="N35" s="15"/>
    </row>
    <row r="36" spans="14:14">
      <c r="N36" s="15"/>
    </row>
    <row r="37" spans="14:14">
      <c r="N37" s="15"/>
    </row>
    <row r="39" spans="14:14">
      <c r="N39" s="15"/>
    </row>
    <row r="40" spans="14:14">
      <c r="N40" s="15"/>
    </row>
    <row r="41" spans="14:14">
      <c r="N41" s="15"/>
    </row>
    <row r="42" spans="14:14">
      <c r="N42" s="15"/>
    </row>
    <row r="44" spans="14:14">
      <c r="N44" s="15"/>
    </row>
    <row r="45" spans="14:14">
      <c r="N45" s="15"/>
    </row>
    <row r="46" spans="14:14">
      <c r="N46" s="15"/>
    </row>
    <row r="47" spans="14:14">
      <c r="N47" s="15"/>
    </row>
    <row r="49" spans="14:14">
      <c r="N49" s="15"/>
    </row>
    <row r="50" spans="14:14">
      <c r="N50" s="15"/>
    </row>
    <row r="51" spans="14:14">
      <c r="N51" s="15"/>
    </row>
    <row r="52" spans="14:14">
      <c r="N52" s="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D12" sqref="D12:D15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43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-13661</v>
      </c>
      <c r="V5" s="2"/>
      <c r="W5" s="13"/>
      <c r="Y5" s="13"/>
    </row>
    <row r="6" spans="1:27">
      <c r="A6" s="2"/>
      <c r="B6" s="2"/>
      <c r="F6" s="2"/>
      <c r="R6" s="13"/>
      <c r="S6" s="13"/>
      <c r="T6" s="2" t="s">
        <v>34</v>
      </c>
      <c r="U6" s="2">
        <f>U5*-8.314</f>
        <v>113577.554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113.57755400000001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T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>
        <v>1.0367084859100473</v>
      </c>
      <c r="F9">
        <f t="shared" ref="F9:F17" si="0">(E9/50)*1000000</f>
        <v>0</v>
      </c>
      <c r="G9">
        <f>F9</f>
        <v>0</v>
      </c>
      <c r="H9">
        <f>G9/4.8</f>
        <v>0</v>
      </c>
      <c r="I9" t="e">
        <f t="shared" ref="I9:I17" si="1">LN(H9)</f>
        <v>#NUM!</v>
      </c>
      <c r="R9" s="13"/>
      <c r="S9" s="13"/>
      <c r="T9" s="13"/>
      <c r="U9" s="13"/>
      <c r="V9" s="13"/>
      <c r="W9" s="13"/>
      <c r="Y9" s="13"/>
    </row>
    <row r="10" spans="1:27">
      <c r="A10">
        <v>325</v>
      </c>
      <c r="B10">
        <f t="shared" ref="B10:B17" si="2">A10+273</f>
        <v>598</v>
      </c>
      <c r="C10">
        <f t="shared" ref="C10:C17" si="3">1/B10</f>
        <v>1.6722408026755853E-3</v>
      </c>
      <c r="D10">
        <v>2.2302694532040497</v>
      </c>
      <c r="E10">
        <v>5.2707000733556589E-9</v>
      </c>
      <c r="F10">
        <f t="shared" si="0"/>
        <v>1.0541400146711318E-4</v>
      </c>
      <c r="G10">
        <f t="shared" ref="G10:G17" si="4">F10</f>
        <v>1.0541400146711318E-4</v>
      </c>
      <c r="H10">
        <f t="shared" ref="H10:H17" si="5">G10/4.8</f>
        <v>2.1961250305648579E-5</v>
      </c>
      <c r="I10">
        <f t="shared" si="1"/>
        <v>-10.726231007349517</v>
      </c>
      <c r="R10" s="13"/>
      <c r="S10" s="13"/>
      <c r="T10" s="2" t="s">
        <v>44</v>
      </c>
      <c r="U10" s="2"/>
      <c r="V10" s="2"/>
      <c r="W10" s="13"/>
      <c r="Y10" s="13"/>
    </row>
    <row r="11" spans="1:27">
      <c r="A11">
        <v>350</v>
      </c>
      <c r="B11">
        <f t="shared" si="2"/>
        <v>623</v>
      </c>
      <c r="C11">
        <f t="shared" si="3"/>
        <v>1.6051364365971107E-3</v>
      </c>
      <c r="D11">
        <v>5.5633284491175488</v>
      </c>
      <c r="E11">
        <v>1.8408596595807511E-8</v>
      </c>
      <c r="F11">
        <f t="shared" si="0"/>
        <v>3.6817193191615024E-4</v>
      </c>
      <c r="G11">
        <f t="shared" si="4"/>
        <v>3.6817193191615024E-4</v>
      </c>
      <c r="H11">
        <f t="shared" si="5"/>
        <v>7.6702485815864641E-5</v>
      </c>
      <c r="I11">
        <f t="shared" si="1"/>
        <v>-9.4755764405221807</v>
      </c>
      <c r="R11" s="13"/>
      <c r="S11" s="13"/>
      <c r="T11" s="2" t="s">
        <v>33</v>
      </c>
      <c r="U11" s="2">
        <v>-12498</v>
      </c>
      <c r="V11" s="2"/>
      <c r="W11" s="13"/>
      <c r="Y11" s="13"/>
    </row>
    <row r="12" spans="1:27">
      <c r="A12">
        <v>375</v>
      </c>
      <c r="B12">
        <f t="shared" si="2"/>
        <v>648</v>
      </c>
      <c r="C12">
        <f t="shared" si="3"/>
        <v>1.5432098765432098E-3</v>
      </c>
      <c r="D12">
        <v>15.118097570736234</v>
      </c>
      <c r="E12">
        <v>4.7079918804707117E-8</v>
      </c>
      <c r="F12">
        <f t="shared" si="0"/>
        <v>9.4159837609414246E-4</v>
      </c>
      <c r="G12">
        <f t="shared" si="4"/>
        <v>9.4159837609414246E-4</v>
      </c>
      <c r="H12">
        <f t="shared" si="5"/>
        <v>1.9616632835294635E-4</v>
      </c>
      <c r="I12">
        <f t="shared" si="1"/>
        <v>-8.536547644557432</v>
      </c>
      <c r="R12" s="13"/>
      <c r="S12" s="13"/>
      <c r="T12" s="2" t="s">
        <v>34</v>
      </c>
      <c r="U12" s="2">
        <f>U11*-8.314</f>
        <v>103908.372</v>
      </c>
      <c r="V12" s="2" t="s">
        <v>18</v>
      </c>
      <c r="W12" s="13"/>
      <c r="Y12" s="13"/>
    </row>
    <row r="13" spans="1:27">
      <c r="A13">
        <v>390</v>
      </c>
      <c r="B13">
        <f t="shared" si="2"/>
        <v>663</v>
      </c>
      <c r="C13">
        <f t="shared" si="3"/>
        <v>1.5082956259426848E-3</v>
      </c>
      <c r="D13">
        <v>22.895235227867744</v>
      </c>
      <c r="E13">
        <v>7.6930248655841863E-8</v>
      </c>
      <c r="F13">
        <f t="shared" si="0"/>
        <v>1.5386049731168374E-3</v>
      </c>
      <c r="G13">
        <f t="shared" si="4"/>
        <v>1.5386049731168374E-3</v>
      </c>
      <c r="H13">
        <f t="shared" si="5"/>
        <v>3.2054270273267446E-4</v>
      </c>
      <c r="I13">
        <f t="shared" si="1"/>
        <v>-8.0454950526234654</v>
      </c>
      <c r="R13" s="13"/>
      <c r="S13" s="13"/>
      <c r="T13" s="2"/>
      <c r="U13" s="2">
        <f>U12/1000</f>
        <v>103.908372</v>
      </c>
      <c r="V13" s="2" t="s">
        <v>19</v>
      </c>
      <c r="W13" s="13"/>
      <c r="Y13" s="13"/>
    </row>
    <row r="14" spans="1:27">
      <c r="A14">
        <v>400</v>
      </c>
      <c r="B14">
        <f t="shared" si="2"/>
        <v>673</v>
      </c>
      <c r="C14">
        <f t="shared" si="3"/>
        <v>1.4858841010401188E-3</v>
      </c>
      <c r="D14">
        <v>31.116780751121041</v>
      </c>
      <c r="E14">
        <v>1.0101951843696405E-7</v>
      </c>
      <c r="F14">
        <f t="shared" si="0"/>
        <v>2.0203903687392808E-3</v>
      </c>
      <c r="G14">
        <f t="shared" si="4"/>
        <v>2.0203903687392808E-3</v>
      </c>
      <c r="H14">
        <f t="shared" si="5"/>
        <v>4.2091466015401684E-4</v>
      </c>
      <c r="I14">
        <f t="shared" si="1"/>
        <v>-7.773080452302473</v>
      </c>
      <c r="R14" s="13"/>
      <c r="S14" s="13"/>
      <c r="W14" s="13"/>
      <c r="Y14" s="13"/>
    </row>
    <row r="15" spans="1:27">
      <c r="A15">
        <v>410</v>
      </c>
      <c r="B15">
        <f t="shared" si="2"/>
        <v>683</v>
      </c>
      <c r="C15">
        <f t="shared" si="3"/>
        <v>1.4641288433382138E-3</v>
      </c>
      <c r="D15">
        <v>40.204921613311832</v>
      </c>
      <c r="E15">
        <v>1.31834490904473E-7</v>
      </c>
      <c r="F15">
        <f t="shared" si="0"/>
        <v>2.6366898180894601E-3</v>
      </c>
      <c r="G15">
        <f t="shared" si="4"/>
        <v>2.6366898180894601E-3</v>
      </c>
      <c r="H15">
        <f t="shared" si="5"/>
        <v>5.4931037876863756E-4</v>
      </c>
      <c r="I15">
        <f t="shared" si="1"/>
        <v>-7.506846923258176</v>
      </c>
      <c r="R15" s="13"/>
      <c r="S15" s="13"/>
      <c r="T15" s="2" t="s">
        <v>45</v>
      </c>
      <c r="U15" s="2"/>
      <c r="V15" s="2"/>
      <c r="W15" s="13"/>
      <c r="Y15" s="13"/>
    </row>
    <row r="16" spans="1:27">
      <c r="A16">
        <v>425</v>
      </c>
      <c r="B16">
        <f t="shared" si="2"/>
        <v>698</v>
      </c>
      <c r="C16">
        <f t="shared" si="3"/>
        <v>1.4326647564469914E-3</v>
      </c>
      <c r="D16">
        <v>59.503333199651003</v>
      </c>
      <c r="E16">
        <v>1.8810531019296759E-7</v>
      </c>
      <c r="F16">
        <f t="shared" si="0"/>
        <v>3.7621062038593516E-3</v>
      </c>
      <c r="G16">
        <f t="shared" si="4"/>
        <v>3.7621062038593516E-3</v>
      </c>
      <c r="H16">
        <f t="shared" si="5"/>
        <v>7.8377212580403165E-4</v>
      </c>
      <c r="I16">
        <f t="shared" si="1"/>
        <v>-7.1513922357246722</v>
      </c>
      <c r="R16" s="13"/>
      <c r="S16" s="13"/>
      <c r="T16" s="2" t="s">
        <v>33</v>
      </c>
      <c r="U16" s="2">
        <v>-13009</v>
      </c>
      <c r="V16" s="2"/>
      <c r="W16" s="13"/>
      <c r="Y16" s="13"/>
    </row>
    <row r="17" spans="1:22">
      <c r="A17">
        <v>450</v>
      </c>
      <c r="B17">
        <f t="shared" si="2"/>
        <v>723</v>
      </c>
      <c r="C17">
        <f t="shared" si="3"/>
        <v>1.3831258644536654E-3</v>
      </c>
      <c r="D17">
        <v>92.255637422994994</v>
      </c>
      <c r="E17">
        <v>4.4494140680259631E-7</v>
      </c>
      <c r="F17">
        <f t="shared" si="0"/>
        <v>8.8988281360519259E-3</v>
      </c>
      <c r="G17">
        <f t="shared" si="4"/>
        <v>8.8988281360519259E-3</v>
      </c>
      <c r="H17">
        <f t="shared" si="5"/>
        <v>1.8539225283441512E-3</v>
      </c>
      <c r="I17">
        <f t="shared" si="1"/>
        <v>-6.2904515989336831</v>
      </c>
      <c r="T17" s="2" t="s">
        <v>34</v>
      </c>
      <c r="U17" s="2">
        <f>U16*-8.314</f>
        <v>108156.826</v>
      </c>
      <c r="V17" s="2" t="s">
        <v>18</v>
      </c>
    </row>
    <row r="18" spans="1:22">
      <c r="T18" s="2"/>
      <c r="U18" s="2">
        <f>U17/1000</f>
        <v>108.156826</v>
      </c>
      <c r="V18" s="2" t="s">
        <v>19</v>
      </c>
    </row>
    <row r="19" spans="1:22">
      <c r="E19" s="9"/>
      <c r="M19" s="11"/>
    </row>
    <row r="21" spans="1:22">
      <c r="H21" s="2" t="s">
        <v>39</v>
      </c>
      <c r="I21" s="2"/>
      <c r="J21" s="2"/>
    </row>
    <row r="22" spans="1:22">
      <c r="H22" s="2" t="s">
        <v>33</v>
      </c>
      <c r="I22" s="2">
        <v>-14385</v>
      </c>
      <c r="J22" s="2"/>
    </row>
    <row r="23" spans="1:22">
      <c r="H23" s="2" t="s">
        <v>34</v>
      </c>
      <c r="I23" s="2">
        <f>I22*-8.314</f>
        <v>119596.89</v>
      </c>
      <c r="J23" s="2" t="s">
        <v>18</v>
      </c>
    </row>
    <row r="24" spans="1:22">
      <c r="H24" s="2"/>
      <c r="I24" s="2">
        <f>I23/1000</f>
        <v>119.59689</v>
      </c>
      <c r="J24" s="2" t="s">
        <v>19</v>
      </c>
    </row>
    <row r="26" spans="1:22">
      <c r="H26" s="12" t="s">
        <v>57</v>
      </c>
      <c r="I26" s="12"/>
      <c r="J26" s="12"/>
    </row>
    <row r="27" spans="1:22">
      <c r="H27" s="12" t="s">
        <v>33</v>
      </c>
      <c r="I27" s="12">
        <v>-15228</v>
      </c>
      <c r="J27" s="12"/>
    </row>
    <row r="28" spans="1:22">
      <c r="H28" s="12" t="s">
        <v>34</v>
      </c>
      <c r="I28" s="12">
        <f>I27*-8.314</f>
        <v>126605.592</v>
      </c>
      <c r="J28" s="12" t="s">
        <v>18</v>
      </c>
    </row>
    <row r="29" spans="1:22">
      <c r="H29" s="12"/>
      <c r="I29" s="12">
        <f>I28/1000</f>
        <v>126.605592</v>
      </c>
      <c r="J29" s="12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topLeftCell="A3" workbookViewId="0">
      <selection activeCell="E43" sqref="E43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43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-10175</v>
      </c>
      <c r="V5" s="2"/>
      <c r="W5" s="13"/>
      <c r="Y5" s="13"/>
    </row>
    <row r="6" spans="1:27">
      <c r="A6" s="2"/>
      <c r="B6" s="2"/>
      <c r="F6" s="2"/>
      <c r="R6" s="13"/>
      <c r="S6" s="13"/>
      <c r="T6" s="2" t="s">
        <v>34</v>
      </c>
      <c r="U6" s="2">
        <f>U5*-8.314</f>
        <v>84594.95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84.594949999999997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T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>
        <v>1.2238225896506283</v>
      </c>
      <c r="F9">
        <f t="shared" ref="F9:F17" si="0">(E9/50)*1000000</f>
        <v>0</v>
      </c>
      <c r="G9">
        <f>F9</f>
        <v>0</v>
      </c>
      <c r="H9">
        <f>G9/4.8</f>
        <v>0</v>
      </c>
      <c r="I9" t="e">
        <f t="shared" ref="I9:I17" si="1">LN(H9)</f>
        <v>#NUM!</v>
      </c>
      <c r="R9" s="13"/>
      <c r="S9" s="13"/>
      <c r="T9" s="13"/>
      <c r="U9" s="13"/>
      <c r="V9" s="13"/>
      <c r="W9" s="13"/>
      <c r="Y9" s="13"/>
    </row>
    <row r="10" spans="1:27">
      <c r="A10">
        <v>325</v>
      </c>
      <c r="B10">
        <f t="shared" ref="B10:B17" si="2">A10+273</f>
        <v>598</v>
      </c>
      <c r="C10">
        <f t="shared" ref="C10:C17" si="3">1/B10</f>
        <v>1.6722408026755853E-3</v>
      </c>
      <c r="D10">
        <v>2.5925365375313305</v>
      </c>
      <c r="E10">
        <v>5.7985739495382026E-9</v>
      </c>
      <c r="F10">
        <f t="shared" si="0"/>
        <v>1.1597147899076406E-4</v>
      </c>
      <c r="G10">
        <f t="shared" ref="G10:G17" si="4">F10</f>
        <v>1.1597147899076406E-4</v>
      </c>
      <c r="H10">
        <f t="shared" ref="H10:H17" si="5">G10/4.8</f>
        <v>2.4160724789742515E-5</v>
      </c>
      <c r="I10">
        <f t="shared" si="1"/>
        <v>-10.630782185772203</v>
      </c>
      <c r="R10" s="13"/>
      <c r="S10" s="13"/>
      <c r="T10" s="2" t="s">
        <v>44</v>
      </c>
      <c r="U10" s="2"/>
      <c r="V10" s="2"/>
      <c r="W10" s="13"/>
      <c r="Y10" s="13"/>
    </row>
    <row r="11" spans="1:27">
      <c r="A11">
        <v>350</v>
      </c>
      <c r="B11">
        <f t="shared" si="2"/>
        <v>623</v>
      </c>
      <c r="C11">
        <f t="shared" si="3"/>
        <v>1.6051364365971107E-3</v>
      </c>
      <c r="D11">
        <v>4.470270772952408</v>
      </c>
      <c r="E11">
        <v>2.0900590021440844E-8</v>
      </c>
      <c r="F11">
        <f t="shared" si="0"/>
        <v>4.180118004288169E-4</v>
      </c>
      <c r="G11">
        <f t="shared" si="4"/>
        <v>4.180118004288169E-4</v>
      </c>
      <c r="H11">
        <f t="shared" si="5"/>
        <v>8.708579175600353E-5</v>
      </c>
      <c r="I11">
        <f t="shared" si="1"/>
        <v>-9.3486168130608913</v>
      </c>
      <c r="R11" s="13"/>
      <c r="S11" s="13"/>
      <c r="T11" s="2" t="s">
        <v>33</v>
      </c>
      <c r="U11" s="2">
        <v>-11800</v>
      </c>
      <c r="V11" s="2"/>
      <c r="W11" s="13"/>
      <c r="Y11" s="13"/>
    </row>
    <row r="12" spans="1:27">
      <c r="A12">
        <v>375</v>
      </c>
      <c r="B12">
        <f t="shared" si="2"/>
        <v>648</v>
      </c>
      <c r="C12">
        <f t="shared" si="3"/>
        <v>1.5432098765432098E-3</v>
      </c>
      <c r="D12">
        <v>10.807623817498552</v>
      </c>
      <c r="E12">
        <v>6.5354537259351556E-8</v>
      </c>
      <c r="F12">
        <f t="shared" si="0"/>
        <v>1.3070907451870311E-3</v>
      </c>
      <c r="G12">
        <f t="shared" si="4"/>
        <v>1.3070907451870311E-3</v>
      </c>
      <c r="H12">
        <f t="shared" si="5"/>
        <v>2.7231057191396481E-4</v>
      </c>
      <c r="I12">
        <f t="shared" si="1"/>
        <v>-8.2085673345286096</v>
      </c>
      <c r="R12" s="13"/>
      <c r="S12" s="13"/>
      <c r="T12" s="2" t="s">
        <v>34</v>
      </c>
      <c r="U12" s="2">
        <f>U11*-8.314</f>
        <v>98105.2</v>
      </c>
      <c r="V12" s="2" t="s">
        <v>18</v>
      </c>
      <c r="W12" s="13"/>
      <c r="Y12" s="13"/>
    </row>
    <row r="13" spans="1:27">
      <c r="A13">
        <v>390</v>
      </c>
      <c r="B13">
        <f t="shared" si="2"/>
        <v>663</v>
      </c>
      <c r="C13">
        <f t="shared" si="3"/>
        <v>1.5082956259426848E-3</v>
      </c>
      <c r="D13">
        <v>20.900445332886886</v>
      </c>
      <c r="E13">
        <v>1.1093390088303214E-7</v>
      </c>
      <c r="F13">
        <f t="shared" si="0"/>
        <v>2.2186780176606429E-3</v>
      </c>
      <c r="G13">
        <f t="shared" si="4"/>
        <v>2.2186780176606429E-3</v>
      </c>
      <c r="H13">
        <f t="shared" si="5"/>
        <v>4.6222458701263393E-4</v>
      </c>
      <c r="I13">
        <f t="shared" si="1"/>
        <v>-7.6794596659251697</v>
      </c>
      <c r="R13" s="13"/>
      <c r="S13" s="13"/>
      <c r="T13" s="2"/>
      <c r="U13" s="2">
        <f>U12/1000</f>
        <v>98.105199999999996</v>
      </c>
      <c r="V13" s="2" t="s">
        <v>19</v>
      </c>
      <c r="W13" s="13"/>
      <c r="Y13" s="13"/>
    </row>
    <row r="14" spans="1:27">
      <c r="A14">
        <v>400</v>
      </c>
      <c r="B14">
        <f t="shared" si="2"/>
        <v>673</v>
      </c>
      <c r="C14">
        <f t="shared" si="3"/>
        <v>1.4858841010401188E-3</v>
      </c>
      <c r="D14">
        <v>29.350249392281739</v>
      </c>
      <c r="E14">
        <v>1.5461077490219698E-7</v>
      </c>
      <c r="F14">
        <f t="shared" si="0"/>
        <v>3.0922154980439396E-3</v>
      </c>
      <c r="G14">
        <f t="shared" si="4"/>
        <v>3.0922154980439396E-3</v>
      </c>
      <c r="H14">
        <f t="shared" si="5"/>
        <v>6.4421156209248747E-4</v>
      </c>
      <c r="I14">
        <f t="shared" si="1"/>
        <v>-7.3474833732423841</v>
      </c>
      <c r="R14" s="13"/>
      <c r="S14" s="13"/>
      <c r="W14" s="13"/>
      <c r="Y14" s="13"/>
    </row>
    <row r="15" spans="1:27">
      <c r="A15">
        <v>410</v>
      </c>
      <c r="B15">
        <f t="shared" si="2"/>
        <v>683</v>
      </c>
      <c r="C15">
        <f t="shared" si="3"/>
        <v>1.4641288433382138E-3</v>
      </c>
      <c r="D15">
        <v>48.268421814149157</v>
      </c>
      <c r="E15">
        <v>1.9426830468646938E-7</v>
      </c>
      <c r="F15">
        <f t="shared" si="0"/>
        <v>3.8853660937293874E-3</v>
      </c>
      <c r="G15">
        <f t="shared" si="4"/>
        <v>3.8853660937293874E-3</v>
      </c>
      <c r="H15">
        <f t="shared" si="5"/>
        <v>8.0945126952695575E-4</v>
      </c>
      <c r="I15">
        <f t="shared" si="1"/>
        <v>-7.1191539848958092</v>
      </c>
      <c r="R15" s="13"/>
      <c r="S15" s="13"/>
      <c r="T15" s="2" t="s">
        <v>45</v>
      </c>
      <c r="U15" s="2"/>
      <c r="V15" s="2"/>
      <c r="W15" s="13"/>
      <c r="Y15" s="13"/>
    </row>
    <row r="16" spans="1:27">
      <c r="A16">
        <v>425</v>
      </c>
      <c r="B16">
        <f t="shared" si="2"/>
        <v>698</v>
      </c>
      <c r="C16">
        <f t="shared" si="3"/>
        <v>1.4326647564469914E-3</v>
      </c>
      <c r="D16">
        <v>71.605137608741813</v>
      </c>
      <c r="E16">
        <v>2.3553357216469868E-7</v>
      </c>
      <c r="F16">
        <f t="shared" si="0"/>
        <v>4.7106714432939732E-3</v>
      </c>
      <c r="G16">
        <f t="shared" si="4"/>
        <v>4.7106714432939732E-3</v>
      </c>
      <c r="H16">
        <f t="shared" si="5"/>
        <v>9.8138988401957786E-4</v>
      </c>
      <c r="I16">
        <f t="shared" si="1"/>
        <v>-6.9265407420653071</v>
      </c>
      <c r="R16" s="13"/>
      <c r="S16" s="13"/>
      <c r="T16" s="2" t="s">
        <v>33</v>
      </c>
      <c r="U16" s="2">
        <v>-13967</v>
      </c>
      <c r="V16" s="2"/>
      <c r="W16" s="13"/>
      <c r="Y16" s="13"/>
    </row>
    <row r="17" spans="1:22">
      <c r="A17">
        <v>450</v>
      </c>
      <c r="B17">
        <f t="shared" si="2"/>
        <v>723</v>
      </c>
      <c r="C17">
        <f t="shared" si="3"/>
        <v>1.3831258644536654E-3</v>
      </c>
      <c r="D17">
        <v>81.269601001674701</v>
      </c>
      <c r="E17">
        <v>3.4867811237692167E-7</v>
      </c>
      <c r="F17">
        <f t="shared" si="0"/>
        <v>6.9735622475384333E-3</v>
      </c>
      <c r="G17">
        <f t="shared" si="4"/>
        <v>6.9735622475384333E-3</v>
      </c>
      <c r="H17">
        <f t="shared" si="5"/>
        <v>1.4528254682371737E-3</v>
      </c>
      <c r="I17">
        <f t="shared" si="1"/>
        <v>-6.5342450198213058</v>
      </c>
      <c r="T17" s="2" t="s">
        <v>34</v>
      </c>
      <c r="U17" s="2">
        <f>U16*-8.314</f>
        <v>116121.63800000001</v>
      </c>
      <c r="V17" s="2" t="s">
        <v>18</v>
      </c>
    </row>
    <row r="18" spans="1:22">
      <c r="T18" s="2"/>
      <c r="U18" s="2">
        <f>U17/1000</f>
        <v>116.121638</v>
      </c>
      <c r="V18" s="2" t="s">
        <v>19</v>
      </c>
    </row>
    <row r="19" spans="1:22">
      <c r="E19" s="9"/>
      <c r="M19" s="11"/>
    </row>
    <row r="21" spans="1:22">
      <c r="H21" s="2" t="s">
        <v>39</v>
      </c>
      <c r="I21" s="2"/>
      <c r="J21" s="2"/>
    </row>
    <row r="22" spans="1:22">
      <c r="H22" s="2" t="s">
        <v>33</v>
      </c>
      <c r="I22" s="2">
        <v>-16835</v>
      </c>
      <c r="J22" s="2"/>
    </row>
    <row r="23" spans="1:22">
      <c r="H23" s="2" t="s">
        <v>34</v>
      </c>
      <c r="I23" s="2">
        <f>I22*-8.314</f>
        <v>139966.19</v>
      </c>
      <c r="J23" s="2" t="s">
        <v>18</v>
      </c>
    </row>
    <row r="24" spans="1:22">
      <c r="H24" s="2"/>
      <c r="I24" s="2">
        <f>I23/1000</f>
        <v>139.96619000000001</v>
      </c>
      <c r="J24" s="2" t="s">
        <v>19</v>
      </c>
    </row>
    <row r="26" spans="1:22">
      <c r="H26" s="12" t="s">
        <v>57</v>
      </c>
      <c r="I26" s="12"/>
      <c r="J26" s="12"/>
    </row>
    <row r="27" spans="1:22">
      <c r="H27" s="12" t="s">
        <v>33</v>
      </c>
      <c r="I27" s="12">
        <v>-7283.3</v>
      </c>
      <c r="J27" s="12"/>
    </row>
    <row r="28" spans="1:22">
      <c r="H28" s="12" t="s">
        <v>34</v>
      </c>
      <c r="I28" s="12">
        <f>I27*-8.314</f>
        <v>60553.356200000002</v>
      </c>
      <c r="J28" s="12" t="s">
        <v>18</v>
      </c>
    </row>
    <row r="29" spans="1:22">
      <c r="H29" s="12"/>
      <c r="I29" s="12">
        <f>I28/1000</f>
        <v>60.553356200000003</v>
      </c>
      <c r="J29" s="12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M22" sqref="M22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43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-13715</v>
      </c>
      <c r="V5" s="2"/>
      <c r="W5" s="13"/>
      <c r="Y5" s="13"/>
    </row>
    <row r="6" spans="1:27">
      <c r="A6" s="2"/>
      <c r="B6" s="2"/>
      <c r="F6" s="2"/>
      <c r="R6" s="13"/>
      <c r="S6" s="13"/>
      <c r="T6" s="2" t="s">
        <v>34</v>
      </c>
      <c r="U6" s="2">
        <f>U5*-8.314</f>
        <v>114026.51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114.02651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T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>
        <v>0</v>
      </c>
      <c r="E9">
        <v>0</v>
      </c>
      <c r="F9">
        <f>(E9/50)*1000000</f>
        <v>0</v>
      </c>
      <c r="G9">
        <f>F9</f>
        <v>0</v>
      </c>
      <c r="H9">
        <f>G9/4.8</f>
        <v>0</v>
      </c>
      <c r="I9" t="e">
        <f t="shared" ref="I9:I17" si="0">LN(H9)</f>
        <v>#NUM!</v>
      </c>
      <c r="R9" s="13"/>
      <c r="S9" s="13"/>
      <c r="T9" s="13"/>
      <c r="U9" s="13"/>
      <c r="V9" s="13"/>
      <c r="W9" s="13"/>
      <c r="Y9" s="13"/>
    </row>
    <row r="10" spans="1:27">
      <c r="A10">
        <v>325</v>
      </c>
      <c r="B10">
        <f t="shared" ref="B10:B17" si="1">A10+273</f>
        <v>598</v>
      </c>
      <c r="C10">
        <f t="shared" ref="C10:C17" si="2">1/B10</f>
        <v>1.6722408026755853E-3</v>
      </c>
      <c r="D10">
        <v>3.5314036552418648</v>
      </c>
      <c r="E10" s="13">
        <v>2.4919934256333309E-9</v>
      </c>
      <c r="F10">
        <f>(E10/50)*1000000</f>
        <v>4.983986851266662E-5</v>
      </c>
      <c r="G10">
        <f t="shared" ref="G10:G17" si="3">F10</f>
        <v>4.983986851266662E-5</v>
      </c>
      <c r="H10">
        <f t="shared" ref="H10:H17" si="4">G10/4.8</f>
        <v>1.038330594013888E-5</v>
      </c>
      <c r="I10">
        <f t="shared" si="0"/>
        <v>-11.475311239591274</v>
      </c>
      <c r="R10" s="13"/>
      <c r="S10" s="13"/>
      <c r="T10" s="2" t="s">
        <v>44</v>
      </c>
      <c r="U10" s="2"/>
      <c r="V10" s="2"/>
      <c r="W10" s="13"/>
      <c r="Y10" s="13"/>
    </row>
    <row r="11" spans="1:27">
      <c r="A11">
        <v>350</v>
      </c>
      <c r="B11">
        <f t="shared" ref="B11" si="5">A11+273</f>
        <v>623</v>
      </c>
      <c r="C11">
        <f t="shared" ref="C11" si="6">1/B11</f>
        <v>1.6051364365971107E-3</v>
      </c>
      <c r="D11">
        <v>5.4091378906629473</v>
      </c>
      <c r="E11" s="13">
        <v>1.2379580243468804E-8</v>
      </c>
      <c r="F11">
        <f t="shared" ref="F11:F17" si="7">(E11/50)*1000000</f>
        <v>2.4759160486937607E-4</v>
      </c>
      <c r="G11">
        <f t="shared" ref="G11" si="8">F11</f>
        <v>2.4759160486937607E-4</v>
      </c>
      <c r="H11">
        <f t="shared" ref="H11" si="9">G11/4.8</f>
        <v>5.1581584347786684E-5</v>
      </c>
      <c r="I11">
        <f t="shared" si="0"/>
        <v>-9.8723458416627903</v>
      </c>
      <c r="R11" s="13"/>
      <c r="S11" s="13"/>
      <c r="T11" s="2" t="s">
        <v>33</v>
      </c>
      <c r="U11" s="2">
        <v>-12004</v>
      </c>
      <c r="V11" s="2"/>
      <c r="W11" s="13"/>
      <c r="Y11" s="13"/>
    </row>
    <row r="12" spans="1:27">
      <c r="A12">
        <v>375</v>
      </c>
      <c r="B12">
        <f t="shared" si="1"/>
        <v>648</v>
      </c>
      <c r="C12">
        <f t="shared" si="2"/>
        <v>1.5432098765432098E-3</v>
      </c>
      <c r="D12">
        <v>18.318560759182887</v>
      </c>
      <c r="E12">
        <v>4.1560019388788128E-8</v>
      </c>
      <c r="F12">
        <f t="shared" si="7"/>
        <v>8.312003877757626E-4</v>
      </c>
      <c r="G12">
        <f t="shared" si="3"/>
        <v>8.312003877757626E-4</v>
      </c>
      <c r="H12">
        <f t="shared" si="4"/>
        <v>1.7316674745328388E-4</v>
      </c>
      <c r="I12">
        <f t="shared" si="0"/>
        <v>-8.6612555695679916</v>
      </c>
      <c r="R12" s="13"/>
      <c r="S12" s="13"/>
      <c r="T12" s="2" t="s">
        <v>34</v>
      </c>
      <c r="U12" s="2">
        <f>U11*-8.314</f>
        <v>99801.255999999994</v>
      </c>
      <c r="V12" s="2" t="s">
        <v>18</v>
      </c>
      <c r="W12" s="13"/>
      <c r="Y12" s="13"/>
    </row>
    <row r="13" spans="1:27">
      <c r="A13">
        <v>390</v>
      </c>
      <c r="B13">
        <f t="shared" si="1"/>
        <v>663</v>
      </c>
      <c r="C13">
        <f t="shared" si="2"/>
        <v>1.5082956259426848E-3</v>
      </c>
      <c r="D13">
        <v>23.951763465446138</v>
      </c>
      <c r="E13">
        <v>6.672111429921498E-8</v>
      </c>
      <c r="F13">
        <f t="shared" si="7"/>
        <v>1.3344222859842996E-3</v>
      </c>
      <c r="G13">
        <f t="shared" si="3"/>
        <v>1.3344222859842996E-3</v>
      </c>
      <c r="H13">
        <f t="shared" si="4"/>
        <v>2.780046429133958E-4</v>
      </c>
      <c r="I13">
        <f t="shared" si="0"/>
        <v>-8.1878727432857765</v>
      </c>
      <c r="R13" s="13"/>
      <c r="S13" s="13"/>
      <c r="T13" s="2"/>
      <c r="U13" s="2">
        <f>U12/1000</f>
        <v>99.801255999999995</v>
      </c>
      <c r="V13" s="2" t="s">
        <v>19</v>
      </c>
      <c r="W13" s="13"/>
      <c r="Y13" s="13"/>
    </row>
    <row r="14" spans="1:27">
      <c r="A14">
        <v>400</v>
      </c>
      <c r="B14">
        <f t="shared" si="1"/>
        <v>673</v>
      </c>
      <c r="C14">
        <f t="shared" si="2"/>
        <v>1.4858841010401188E-3</v>
      </c>
      <c r="D14">
        <v>27.707231936288306</v>
      </c>
      <c r="E14">
        <v>8.8693529449960497E-8</v>
      </c>
      <c r="F14">
        <f t="shared" si="7"/>
        <v>1.77387058899921E-3</v>
      </c>
      <c r="G14">
        <f t="shared" si="3"/>
        <v>1.77387058899921E-3</v>
      </c>
      <c r="H14">
        <f t="shared" si="4"/>
        <v>3.6955637270816874E-4</v>
      </c>
      <c r="I14">
        <f t="shared" si="0"/>
        <v>-7.903207264373421</v>
      </c>
      <c r="R14" s="13"/>
      <c r="S14" s="13"/>
      <c r="W14" s="13"/>
      <c r="Y14" s="13"/>
    </row>
    <row r="15" spans="1:27">
      <c r="A15">
        <v>410</v>
      </c>
      <c r="B15">
        <f t="shared" si="1"/>
        <v>683</v>
      </c>
      <c r="C15">
        <f t="shared" si="2"/>
        <v>1.4641288433382138E-3</v>
      </c>
      <c r="D15">
        <v>37.870468485504922</v>
      </c>
      <c r="E15">
        <v>1.1254163857698914E-7</v>
      </c>
      <c r="F15">
        <f t="shared" si="7"/>
        <v>2.2508327715397829E-3</v>
      </c>
      <c r="G15">
        <f t="shared" si="3"/>
        <v>2.2508327715397829E-3</v>
      </c>
      <c r="H15">
        <f t="shared" si="4"/>
        <v>4.6892349407078813E-4</v>
      </c>
      <c r="I15">
        <f t="shared" si="0"/>
        <v>-7.66507092847307</v>
      </c>
      <c r="R15" s="13"/>
      <c r="S15" s="13"/>
      <c r="T15" s="13"/>
      <c r="U15" s="13"/>
      <c r="V15" s="13"/>
      <c r="W15" s="13"/>
      <c r="Y15" s="13"/>
    </row>
    <row r="16" spans="1:27">
      <c r="A16">
        <v>425</v>
      </c>
      <c r="B16">
        <f t="shared" si="1"/>
        <v>698</v>
      </c>
      <c r="C16">
        <f t="shared" si="2"/>
        <v>1.4326647564469914E-3</v>
      </c>
      <c r="D16">
        <v>54.277171367496635</v>
      </c>
      <c r="E16">
        <v>1.567544251608063E-7</v>
      </c>
      <c r="F16">
        <f t="shared" si="7"/>
        <v>3.1350885032161257E-3</v>
      </c>
      <c r="G16">
        <f t="shared" si="3"/>
        <v>3.1350885032161257E-3</v>
      </c>
      <c r="H16">
        <f t="shared" si="4"/>
        <v>6.5314343817002621E-4</v>
      </c>
      <c r="I16">
        <f t="shared" si="0"/>
        <v>-7.3337137925186271</v>
      </c>
      <c r="R16" s="13"/>
      <c r="S16" s="13"/>
      <c r="T16" s="13"/>
      <c r="U16" s="13"/>
      <c r="V16" s="13"/>
      <c r="W16" s="13"/>
      <c r="Y16" s="13"/>
    </row>
    <row r="17" spans="1:13">
      <c r="A17">
        <v>450</v>
      </c>
      <c r="B17">
        <f t="shared" si="1"/>
        <v>723</v>
      </c>
      <c r="C17">
        <f t="shared" si="2"/>
        <v>1.3831258644536654E-3</v>
      </c>
      <c r="D17">
        <v>80.14296046042206</v>
      </c>
      <c r="E17">
        <v>4.0381011746553001E-7</v>
      </c>
      <c r="F17">
        <f t="shared" si="7"/>
        <v>8.0762023493106006E-3</v>
      </c>
      <c r="G17">
        <f t="shared" si="3"/>
        <v>8.0762023493106006E-3</v>
      </c>
      <c r="H17">
        <f t="shared" si="4"/>
        <v>1.6825421561063752E-3</v>
      </c>
      <c r="I17">
        <f t="shared" si="0"/>
        <v>-6.3874494411239882</v>
      </c>
    </row>
    <row r="19" spans="1:13">
      <c r="E19" s="9"/>
      <c r="M19" s="11"/>
    </row>
    <row r="21" spans="1:13">
      <c r="H21" s="2" t="s">
        <v>39</v>
      </c>
      <c r="I21" s="2"/>
      <c r="J21" s="2"/>
    </row>
    <row r="22" spans="1:13">
      <c r="H22" s="2" t="s">
        <v>33</v>
      </c>
      <c r="I22" s="2">
        <v>-16624</v>
      </c>
      <c r="J22" s="2"/>
    </row>
    <row r="23" spans="1:13">
      <c r="H23" s="2" t="s">
        <v>34</v>
      </c>
      <c r="I23" s="2">
        <f>I22*-8.314</f>
        <v>138211.93599999999</v>
      </c>
      <c r="J23" s="2" t="s">
        <v>18</v>
      </c>
    </row>
    <row r="24" spans="1:13">
      <c r="H24" s="2"/>
      <c r="I24" s="2">
        <f>I23/1000</f>
        <v>138.21193599999998</v>
      </c>
      <c r="J24" s="2" t="s">
        <v>19</v>
      </c>
    </row>
    <row r="26" spans="1:13">
      <c r="H26" s="12" t="s">
        <v>41</v>
      </c>
      <c r="I26" s="12"/>
      <c r="J26" s="12"/>
    </row>
    <row r="27" spans="1:13">
      <c r="H27" s="12" t="s">
        <v>33</v>
      </c>
      <c r="I27" s="12">
        <v>-16070</v>
      </c>
      <c r="J27" s="12"/>
    </row>
    <row r="28" spans="1:13">
      <c r="H28" s="12" t="s">
        <v>34</v>
      </c>
      <c r="I28" s="12">
        <f>I27*-8.314</f>
        <v>133605.98000000001</v>
      </c>
      <c r="J28" s="12" t="s">
        <v>18</v>
      </c>
    </row>
    <row r="29" spans="1:13">
      <c r="H29" s="12"/>
      <c r="I29" s="12">
        <f>I28/1000</f>
        <v>133.60598000000002</v>
      </c>
      <c r="J29" s="12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U7" sqref="U7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43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-13177</v>
      </c>
      <c r="V5" s="2"/>
      <c r="W5" s="13"/>
      <c r="Y5" s="13"/>
    </row>
    <row r="6" spans="1:27">
      <c r="A6" s="2"/>
      <c r="B6" s="2"/>
      <c r="F6" s="2"/>
      <c r="R6" s="13"/>
      <c r="S6" s="13"/>
      <c r="T6" s="2" t="s">
        <v>34</v>
      </c>
      <c r="U6" s="2">
        <f>U5*-8.314</f>
        <v>109553.57799999999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109.55357799999999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T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>
        <v>0</v>
      </c>
      <c r="E9">
        <v>0</v>
      </c>
      <c r="F9">
        <f>(E9/50)*1000000</f>
        <v>0</v>
      </c>
      <c r="G9">
        <f>F9</f>
        <v>0</v>
      </c>
      <c r="H9">
        <f>G9/4.8</f>
        <v>0</v>
      </c>
      <c r="I9" t="e">
        <f t="shared" ref="I9:I17" si="0">LN(H9)</f>
        <v>#NUM!</v>
      </c>
      <c r="R9" s="13"/>
      <c r="S9" s="13"/>
      <c r="T9" s="2" t="s">
        <v>44</v>
      </c>
      <c r="U9" s="2"/>
      <c r="V9" s="2"/>
      <c r="W9" s="13"/>
      <c r="Y9" s="13"/>
    </row>
    <row r="10" spans="1:27">
      <c r="A10">
        <v>325</v>
      </c>
      <c r="B10">
        <f t="shared" ref="B10:B17" si="1">A10+273</f>
        <v>598</v>
      </c>
      <c r="C10">
        <f t="shared" ref="C10:C17" si="2">1/B10</f>
        <v>1.6722408026755853E-3</v>
      </c>
      <c r="D10">
        <v>1.7613642641784608</v>
      </c>
      <c r="E10" s="13">
        <v>8.8425573167634335E-10</v>
      </c>
      <c r="F10">
        <f t="shared" ref="F10:F17" si="3">(E10/50)*1000000</f>
        <v>1.7685114633526868E-5</v>
      </c>
      <c r="G10">
        <f t="shared" ref="G10:G17" si="4">F10</f>
        <v>1.7685114633526868E-5</v>
      </c>
      <c r="H10">
        <f t="shared" ref="H10:H17" si="5">G10/4.8</f>
        <v>3.6843988819847642E-6</v>
      </c>
      <c r="I10">
        <f t="shared" si="0"/>
        <v>-12.511403171278049</v>
      </c>
      <c r="R10" s="13"/>
      <c r="S10" s="13"/>
      <c r="T10" s="2" t="s">
        <v>33</v>
      </c>
      <c r="U10" s="2">
        <v>-13579</v>
      </c>
      <c r="V10" s="2"/>
      <c r="W10" s="13"/>
      <c r="Y10" s="13"/>
    </row>
    <row r="11" spans="1:27">
      <c r="A11">
        <v>350</v>
      </c>
      <c r="B11">
        <f t="shared" si="1"/>
        <v>623</v>
      </c>
      <c r="C11">
        <f t="shared" si="2"/>
        <v>1.6051364365971107E-3</v>
      </c>
      <c r="D11">
        <v>3.2981900939807454</v>
      </c>
      <c r="E11">
        <v>4.4212786583817168E-9</v>
      </c>
      <c r="F11">
        <f t="shared" si="3"/>
        <v>8.8425573167634334E-5</v>
      </c>
      <c r="G11">
        <f t="shared" si="4"/>
        <v>8.8425573167634334E-5</v>
      </c>
      <c r="H11">
        <f t="shared" si="5"/>
        <v>1.8421994409923822E-5</v>
      </c>
      <c r="I11">
        <f t="shared" si="0"/>
        <v>-10.90196525884395</v>
      </c>
      <c r="R11" s="13"/>
      <c r="S11" s="13"/>
      <c r="T11" s="2" t="s">
        <v>34</v>
      </c>
      <c r="U11" s="2">
        <f>U10*-8.314</f>
        <v>112895.806</v>
      </c>
      <c r="V11" s="2" t="s">
        <v>18</v>
      </c>
      <c r="W11" s="13"/>
      <c r="Y11" s="13"/>
    </row>
    <row r="12" spans="1:27">
      <c r="A12">
        <v>375</v>
      </c>
      <c r="B12">
        <f t="shared" si="1"/>
        <v>648</v>
      </c>
      <c r="C12">
        <f t="shared" si="2"/>
        <v>1.5432098765432098E-3</v>
      </c>
      <c r="D12">
        <v>6.9038199254398869</v>
      </c>
      <c r="E12">
        <v>1.9560808609810015E-8</v>
      </c>
      <c r="F12">
        <f t="shared" si="3"/>
        <v>3.9121617219620034E-4</v>
      </c>
      <c r="G12">
        <f t="shared" si="4"/>
        <v>3.9121617219620034E-4</v>
      </c>
      <c r="H12">
        <f t="shared" si="5"/>
        <v>8.1503369207541746E-5</v>
      </c>
      <c r="I12">
        <f t="shared" si="0"/>
        <v>-9.414866198602093</v>
      </c>
      <c r="R12" s="13"/>
      <c r="S12" s="13"/>
      <c r="T12" s="2"/>
      <c r="U12" s="2">
        <f>U11/1000</f>
        <v>112.89580599999999</v>
      </c>
      <c r="V12" s="2" t="s">
        <v>19</v>
      </c>
      <c r="W12" s="13"/>
      <c r="Y12" s="13"/>
    </row>
    <row r="13" spans="1:27">
      <c r="A13">
        <v>390</v>
      </c>
      <c r="B13">
        <f t="shared" si="1"/>
        <v>663</v>
      </c>
      <c r="C13">
        <f t="shared" si="2"/>
        <v>1.5082956259426848E-3</v>
      </c>
      <c r="D13">
        <v>10.391232385375792</v>
      </c>
      <c r="E13">
        <v>3.1699228199185275E-8</v>
      </c>
      <c r="F13">
        <f t="shared" si="3"/>
        <v>6.3398456398370553E-4</v>
      </c>
      <c r="G13">
        <f t="shared" si="4"/>
        <v>6.3398456398370553E-4</v>
      </c>
      <c r="H13">
        <f t="shared" si="5"/>
        <v>1.3208011749660532E-4</v>
      </c>
      <c r="I13">
        <f t="shared" si="0"/>
        <v>-8.9321018687661429</v>
      </c>
      <c r="R13" s="13"/>
      <c r="S13" s="13"/>
      <c r="W13" s="13"/>
      <c r="Y13" s="13"/>
    </row>
    <row r="14" spans="1:27">
      <c r="A14">
        <v>400</v>
      </c>
      <c r="B14">
        <f t="shared" si="1"/>
        <v>673</v>
      </c>
      <c r="C14">
        <f t="shared" si="2"/>
        <v>1.4858841010401188E-3</v>
      </c>
      <c r="D14">
        <v>13.228449301933802</v>
      </c>
      <c r="E14">
        <v>3.8666091539665552E-8</v>
      </c>
      <c r="F14">
        <f t="shared" si="3"/>
        <v>7.7332183079331109E-4</v>
      </c>
      <c r="G14">
        <f t="shared" si="4"/>
        <v>7.7332183079331109E-4</v>
      </c>
      <c r="H14">
        <f t="shared" si="5"/>
        <v>1.611087147486065E-4</v>
      </c>
      <c r="I14">
        <f t="shared" si="0"/>
        <v>-8.7334311739706578</v>
      </c>
      <c r="R14" s="13"/>
      <c r="S14" s="13"/>
      <c r="T14" s="2" t="s">
        <v>43</v>
      </c>
      <c r="U14" s="2"/>
      <c r="V14" s="2"/>
      <c r="W14" s="13"/>
      <c r="Y14" s="13"/>
    </row>
    <row r="15" spans="1:27">
      <c r="A15">
        <v>410</v>
      </c>
      <c r="B15">
        <f t="shared" si="1"/>
        <v>683</v>
      </c>
      <c r="C15">
        <f t="shared" si="2"/>
        <v>1.4641288433382138E-3</v>
      </c>
      <c r="D15">
        <v>16.065666218491828</v>
      </c>
      <c r="E15">
        <v>5.3376891439371994E-8</v>
      </c>
      <c r="F15">
        <f t="shared" si="3"/>
        <v>1.0675378287874398E-3</v>
      </c>
      <c r="G15">
        <f t="shared" si="4"/>
        <v>1.0675378287874398E-3</v>
      </c>
      <c r="H15">
        <f t="shared" si="5"/>
        <v>2.2240371433071665E-4</v>
      </c>
      <c r="I15">
        <f t="shared" si="0"/>
        <v>-8.4110162945999853</v>
      </c>
      <c r="R15" s="13"/>
      <c r="S15" s="13"/>
      <c r="T15" s="2" t="s">
        <v>33</v>
      </c>
      <c r="U15" s="2">
        <v>-14139</v>
      </c>
      <c r="V15" s="2"/>
      <c r="W15" s="13"/>
      <c r="Y15" s="13"/>
    </row>
    <row r="16" spans="1:27">
      <c r="A16">
        <v>425</v>
      </c>
      <c r="B16">
        <f t="shared" si="1"/>
        <v>698</v>
      </c>
      <c r="C16">
        <f t="shared" si="2"/>
        <v>1.4326647564469914E-3</v>
      </c>
      <c r="D16">
        <v>25.759490683398411</v>
      </c>
      <c r="E16">
        <v>9.0837179708569804E-8</v>
      </c>
      <c r="F16">
        <f t="shared" si="3"/>
        <v>1.8167435941713961E-3</v>
      </c>
      <c r="G16">
        <f t="shared" si="4"/>
        <v>1.8167435941713961E-3</v>
      </c>
      <c r="H16">
        <f t="shared" si="5"/>
        <v>3.7848824878570754E-4</v>
      </c>
      <c r="I16">
        <f t="shared" si="0"/>
        <v>-7.879325532370034</v>
      </c>
      <c r="R16" s="13"/>
      <c r="S16" s="13"/>
      <c r="T16" s="2" t="s">
        <v>34</v>
      </c>
      <c r="U16" s="2">
        <f>U15*-8.314</f>
        <v>117551.64600000001</v>
      </c>
      <c r="V16" s="2" t="s">
        <v>18</v>
      </c>
      <c r="W16" s="13"/>
      <c r="Y16" s="13"/>
    </row>
    <row r="17" spans="1:22">
      <c r="A17">
        <v>450</v>
      </c>
      <c r="B17">
        <f t="shared" si="1"/>
        <v>723</v>
      </c>
      <c r="C17">
        <f t="shared" si="2"/>
        <v>1.3831258644536654E-3</v>
      </c>
      <c r="D17">
        <v>51.341729881029927</v>
      </c>
      <c r="E17">
        <v>1.5568260003150164E-7</v>
      </c>
      <c r="F17">
        <f t="shared" si="3"/>
        <v>3.1136520006300331E-3</v>
      </c>
      <c r="G17">
        <f t="shared" si="4"/>
        <v>3.1136520006300331E-3</v>
      </c>
      <c r="H17">
        <f t="shared" si="5"/>
        <v>6.4867750013125689E-4</v>
      </c>
      <c r="I17">
        <f t="shared" si="0"/>
        <v>-7.3405748828985731</v>
      </c>
      <c r="T17" s="2"/>
      <c r="U17" s="2">
        <f>U16/1000</f>
        <v>117.55164600000001</v>
      </c>
      <c r="V17" s="2" t="s">
        <v>19</v>
      </c>
    </row>
    <row r="19" spans="1:22">
      <c r="E19" s="9"/>
      <c r="M19" s="11"/>
    </row>
    <row r="21" spans="1:22">
      <c r="H21" s="2" t="s">
        <v>39</v>
      </c>
      <c r="I21" s="2"/>
      <c r="J21" s="2"/>
    </row>
    <row r="22" spans="1:22">
      <c r="H22" s="2" t="s">
        <v>33</v>
      </c>
      <c r="I22" s="2">
        <v>-18551</v>
      </c>
      <c r="J22" s="2"/>
    </row>
    <row r="23" spans="1:22">
      <c r="H23" s="2" t="s">
        <v>34</v>
      </c>
      <c r="I23" s="2">
        <f>I22*-8.314</f>
        <v>154233.014</v>
      </c>
      <c r="J23" s="2" t="s">
        <v>18</v>
      </c>
    </row>
    <row r="24" spans="1:22">
      <c r="H24" s="2"/>
      <c r="I24" s="2">
        <f>I23/1000</f>
        <v>154.233014</v>
      </c>
      <c r="J24" s="2" t="s">
        <v>19</v>
      </c>
    </row>
    <row r="26" spans="1:22">
      <c r="H26" s="12" t="s">
        <v>41</v>
      </c>
      <c r="I26" s="12"/>
      <c r="J26" s="12"/>
    </row>
    <row r="27" spans="1:22">
      <c r="H27" s="12" t="s">
        <v>33</v>
      </c>
      <c r="I27" s="12">
        <v>-13005</v>
      </c>
      <c r="J27" s="12"/>
    </row>
    <row r="28" spans="1:22">
      <c r="H28" s="12" t="s">
        <v>34</v>
      </c>
      <c r="I28" s="12">
        <f>I27*-8.314</f>
        <v>108123.57</v>
      </c>
      <c r="J28" s="12" t="s">
        <v>18</v>
      </c>
    </row>
    <row r="29" spans="1:22">
      <c r="H29" s="12"/>
      <c r="I29" s="12">
        <f>I28/1000</f>
        <v>108.12357</v>
      </c>
      <c r="J29" s="12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P41" sqref="P41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43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-11796</v>
      </c>
      <c r="V5" s="2"/>
      <c r="W5" s="13"/>
      <c r="Y5" s="13"/>
    </row>
    <row r="6" spans="1:27">
      <c r="A6" s="2" t="s">
        <v>25</v>
      </c>
      <c r="B6" s="2" t="s">
        <v>26</v>
      </c>
      <c r="F6" s="2"/>
      <c r="R6" s="13"/>
      <c r="S6" s="13"/>
      <c r="T6" s="2" t="s">
        <v>34</v>
      </c>
      <c r="U6" s="2">
        <f>U5*-8.314</f>
        <v>98071.944000000003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98.071944000000002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T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 s="13">
        <v>0</v>
      </c>
      <c r="E9">
        <v>0</v>
      </c>
      <c r="F9">
        <f>(E9/50)*1000000</f>
        <v>0</v>
      </c>
      <c r="G9">
        <f>F9</f>
        <v>0</v>
      </c>
      <c r="H9">
        <f>G9/4.8</f>
        <v>0</v>
      </c>
      <c r="I9" t="e">
        <f t="shared" ref="I9:I17" si="0">LN(H9)</f>
        <v>#NUM!</v>
      </c>
      <c r="R9" s="13"/>
      <c r="S9" s="13"/>
      <c r="T9" s="2" t="s">
        <v>44</v>
      </c>
      <c r="U9" s="2"/>
      <c r="V9" s="2"/>
      <c r="W9" s="13"/>
      <c r="Y9" s="13"/>
    </row>
    <row r="10" spans="1:27">
      <c r="A10">
        <v>325</v>
      </c>
      <c r="B10">
        <f t="shared" ref="B10:B17" si="1">A10+273</f>
        <v>598</v>
      </c>
      <c r="C10">
        <f t="shared" ref="C10:C17" si="2">1/B10</f>
        <v>1.6722408026755853E-3</v>
      </c>
      <c r="D10" s="13">
        <v>0.91846910399026882</v>
      </c>
      <c r="E10">
        <v>6.9668633404802793E-10</v>
      </c>
      <c r="F10">
        <f t="shared" ref="F10:F17" si="3">(E10/50)*1000000</f>
        <v>1.3933726680960559E-5</v>
      </c>
      <c r="G10">
        <f t="shared" ref="G10:G17" si="4">F10</f>
        <v>1.3933726680960559E-5</v>
      </c>
      <c r="H10">
        <f t="shared" ref="H10:H17" si="5">G10/4.8</f>
        <v>2.9028597252001163E-6</v>
      </c>
      <c r="I10">
        <f t="shared" si="0"/>
        <v>-12.749814194723047</v>
      </c>
      <c r="R10" s="13"/>
      <c r="S10" s="13"/>
      <c r="T10" s="2" t="s">
        <v>33</v>
      </c>
      <c r="U10" s="2">
        <v>-9241</v>
      </c>
      <c r="V10" s="2"/>
      <c r="W10" s="13"/>
      <c r="Y10" s="13"/>
    </row>
    <row r="11" spans="1:27">
      <c r="A11">
        <v>350</v>
      </c>
      <c r="B11">
        <f t="shared" si="1"/>
        <v>623</v>
      </c>
      <c r="C11">
        <f t="shared" si="2"/>
        <v>1.6051364365971107E-3</v>
      </c>
      <c r="D11" s="13">
        <v>0.57081460961830999</v>
      </c>
      <c r="E11">
        <v>8.1458709827154052E-9</v>
      </c>
      <c r="F11">
        <f t="shared" si="3"/>
        <v>1.629174196543081E-4</v>
      </c>
      <c r="G11">
        <f t="shared" si="4"/>
        <v>1.629174196543081E-4</v>
      </c>
      <c r="H11">
        <f t="shared" si="5"/>
        <v>3.3941129094647521E-5</v>
      </c>
      <c r="I11">
        <f t="shared" si="0"/>
        <v>-10.290883031338307</v>
      </c>
      <c r="R11" s="13"/>
      <c r="T11" s="2" t="s">
        <v>34</v>
      </c>
      <c r="U11" s="2">
        <f>U10*-8.314</f>
        <v>76829.673999999999</v>
      </c>
      <c r="V11" s="2" t="s">
        <v>18</v>
      </c>
      <c r="W11" s="13"/>
      <c r="Y11" s="13"/>
    </row>
    <row r="12" spans="1:27">
      <c r="A12">
        <v>375</v>
      </c>
      <c r="B12">
        <f t="shared" si="1"/>
        <v>648</v>
      </c>
      <c r="C12">
        <f t="shared" si="2"/>
        <v>1.5432098765432098E-3</v>
      </c>
      <c r="D12" s="13">
        <v>8.4509831487161566</v>
      </c>
      <c r="E12">
        <v>1.9212465442786003E-8</v>
      </c>
      <c r="F12">
        <f t="shared" si="3"/>
        <v>3.8424930885572011E-4</v>
      </c>
      <c r="G12">
        <f t="shared" si="4"/>
        <v>3.8424930885572011E-4</v>
      </c>
      <c r="H12">
        <f t="shared" si="5"/>
        <v>8.0051939344941698E-5</v>
      </c>
      <c r="I12">
        <f t="shared" si="0"/>
        <v>-9.4328348921449088</v>
      </c>
      <c r="R12" s="13"/>
      <c r="T12" s="2"/>
      <c r="U12" s="2">
        <f>U11/1000</f>
        <v>76.829673999999997</v>
      </c>
      <c r="V12" s="2" t="s">
        <v>19</v>
      </c>
      <c r="W12" s="13"/>
      <c r="Y12" s="13"/>
    </row>
    <row r="13" spans="1:27">
      <c r="A13">
        <v>390</v>
      </c>
      <c r="B13">
        <f t="shared" si="1"/>
        <v>663</v>
      </c>
      <c r="C13">
        <f t="shared" si="2"/>
        <v>1.5082956259426848E-3</v>
      </c>
      <c r="D13">
        <v>10.768679777862593</v>
      </c>
      <c r="E13">
        <v>2.5455846820985639E-8</v>
      </c>
      <c r="F13">
        <f t="shared" si="3"/>
        <v>5.0911693641971282E-4</v>
      </c>
      <c r="G13">
        <f t="shared" si="4"/>
        <v>5.0911693641971282E-4</v>
      </c>
      <c r="H13">
        <f t="shared" si="5"/>
        <v>1.060660284207735E-4</v>
      </c>
      <c r="I13">
        <f t="shared" si="0"/>
        <v>-9.1514487481499422</v>
      </c>
      <c r="R13" s="13"/>
      <c r="W13" s="13"/>
      <c r="Y13" s="13"/>
    </row>
    <row r="14" spans="1:27">
      <c r="A14">
        <v>400</v>
      </c>
      <c r="B14">
        <f t="shared" si="1"/>
        <v>673</v>
      </c>
      <c r="C14">
        <f t="shared" si="2"/>
        <v>1.4858841010401188E-3</v>
      </c>
      <c r="D14">
        <v>11.000449440777226</v>
      </c>
      <c r="E14">
        <v>2.8885687234760542E-8</v>
      </c>
      <c r="F14">
        <f t="shared" si="3"/>
        <v>5.7771374469521087E-4</v>
      </c>
      <c r="G14">
        <f t="shared" si="4"/>
        <v>5.7771374469521087E-4</v>
      </c>
      <c r="H14">
        <f t="shared" si="5"/>
        <v>1.203570301448356E-4</v>
      </c>
      <c r="I14">
        <f t="shared" si="0"/>
        <v>-9.0250479812755877</v>
      </c>
      <c r="R14" s="13"/>
      <c r="T14" s="2" t="s">
        <v>64</v>
      </c>
      <c r="U14" s="2"/>
      <c r="V14" s="2"/>
      <c r="W14" s="13"/>
      <c r="Y14" s="13"/>
    </row>
    <row r="15" spans="1:27">
      <c r="A15">
        <v>410</v>
      </c>
      <c r="B15">
        <f t="shared" si="1"/>
        <v>683</v>
      </c>
      <c r="C15">
        <f t="shared" si="2"/>
        <v>1.4641288433382138E-3</v>
      </c>
      <c r="D15">
        <v>14.476994384496862</v>
      </c>
      <c r="E15">
        <v>3.5825754947008213E-8</v>
      </c>
      <c r="F15">
        <f t="shared" si="3"/>
        <v>7.1651509894016426E-4</v>
      </c>
      <c r="G15">
        <f t="shared" si="4"/>
        <v>7.1651509894016426E-4</v>
      </c>
      <c r="H15">
        <f t="shared" si="5"/>
        <v>1.4927397894586757E-4</v>
      </c>
      <c r="I15">
        <f t="shared" si="0"/>
        <v>-8.8097271556425856</v>
      </c>
      <c r="R15" s="13"/>
      <c r="T15" s="2" t="s">
        <v>33</v>
      </c>
      <c r="U15" s="2">
        <v>-13252</v>
      </c>
      <c r="V15" s="2"/>
      <c r="W15" s="13"/>
      <c r="Y15" s="13"/>
    </row>
    <row r="16" spans="1:27">
      <c r="A16">
        <v>425</v>
      </c>
      <c r="B16">
        <f t="shared" si="1"/>
        <v>698</v>
      </c>
      <c r="C16">
        <f t="shared" si="2"/>
        <v>1.4326647564469914E-3</v>
      </c>
      <c r="D16">
        <v>27.456095507716856</v>
      </c>
      <c r="E16">
        <v>5.5038220389794203E-8</v>
      </c>
      <c r="F16">
        <f t="shared" si="3"/>
        <v>1.100764407795884E-3</v>
      </c>
      <c r="G16">
        <f t="shared" si="4"/>
        <v>1.100764407795884E-3</v>
      </c>
      <c r="H16">
        <f t="shared" si="5"/>
        <v>2.2932591829080917E-4</v>
      </c>
      <c r="I16">
        <f t="shared" si="0"/>
        <v>-8.3803663422560266</v>
      </c>
      <c r="R16" s="13"/>
      <c r="T16" s="2" t="s">
        <v>34</v>
      </c>
      <c r="U16" s="2">
        <f>U15*-8.314</f>
        <v>110177.128</v>
      </c>
      <c r="V16" s="2" t="s">
        <v>18</v>
      </c>
      <c r="W16" s="13"/>
      <c r="Y16" s="13"/>
    </row>
    <row r="17" spans="1:22">
      <c r="A17">
        <v>450</v>
      </c>
      <c r="B17">
        <f t="shared" si="1"/>
        <v>723</v>
      </c>
      <c r="C17">
        <f t="shared" si="2"/>
        <v>1.3831258644536654E-3</v>
      </c>
      <c r="D17">
        <v>41.489748597198464</v>
      </c>
      <c r="E17">
        <v>1.2922191715179286E-7</v>
      </c>
      <c r="F17">
        <f t="shared" si="3"/>
        <v>2.5844383430358572E-3</v>
      </c>
      <c r="G17">
        <f t="shared" si="4"/>
        <v>2.5844383430358572E-3</v>
      </c>
      <c r="H17">
        <f t="shared" si="5"/>
        <v>5.3842465479913692E-4</v>
      </c>
      <c r="I17">
        <f t="shared" si="0"/>
        <v>-7.5268629879646456</v>
      </c>
      <c r="T17" s="2"/>
      <c r="U17" s="2">
        <f>U16/1000</f>
        <v>110.177128</v>
      </c>
      <c r="V17" s="2" t="s">
        <v>19</v>
      </c>
    </row>
    <row r="19" spans="1:22">
      <c r="E19" s="9"/>
      <c r="M19" s="11"/>
    </row>
    <row r="21" spans="1:22">
      <c r="H21" s="2" t="s">
        <v>39</v>
      </c>
      <c r="I21" s="2"/>
      <c r="J21" s="2"/>
    </row>
    <row r="22" spans="1:22">
      <c r="H22" s="2" t="s">
        <v>33</v>
      </c>
      <c r="I22" s="2">
        <v>-10803</v>
      </c>
      <c r="J22" s="2"/>
    </row>
    <row r="23" spans="1:22">
      <c r="H23" s="2" t="s">
        <v>34</v>
      </c>
      <c r="I23" s="2">
        <f>I22*-8.314</f>
        <v>89816.142000000007</v>
      </c>
      <c r="J23" s="2" t="s">
        <v>18</v>
      </c>
    </row>
    <row r="24" spans="1:22">
      <c r="H24" s="2"/>
      <c r="I24" s="2">
        <f>I23/1000</f>
        <v>89.816142000000013</v>
      </c>
      <c r="J24" s="2" t="s">
        <v>19</v>
      </c>
    </row>
    <row r="26" spans="1:22">
      <c r="H26" s="12" t="s">
        <v>41</v>
      </c>
      <c r="I26" s="12"/>
      <c r="J26" s="12"/>
    </row>
    <row r="27" spans="1:22">
      <c r="H27" s="12" t="s">
        <v>33</v>
      </c>
      <c r="I27" s="12">
        <v>-15962</v>
      </c>
      <c r="J27" s="12"/>
    </row>
    <row r="28" spans="1:22">
      <c r="H28" s="12" t="s">
        <v>34</v>
      </c>
      <c r="I28" s="12">
        <f>I27*-8.314</f>
        <v>132708.068</v>
      </c>
      <c r="J28" s="12" t="s">
        <v>18</v>
      </c>
    </row>
    <row r="29" spans="1:22">
      <c r="H29" s="12"/>
      <c r="I29" s="12">
        <f>I28/1000</f>
        <v>132.708068</v>
      </c>
      <c r="J29" s="12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Q38" sqref="Q38"/>
    </sheetView>
  </sheetViews>
  <sheetFormatPr defaultRowHeight="15"/>
  <cols>
    <col min="5" max="5" width="12" bestFit="1" customWidth="1"/>
    <col min="6" max="6" width="14.7109375" customWidth="1"/>
    <col min="7" max="7" width="18.42578125" customWidth="1"/>
    <col min="8" max="8" width="15.5703125" customWidth="1"/>
    <col min="18" max="18" width="12" bestFit="1" customWidth="1"/>
  </cols>
  <sheetData>
    <row r="1" spans="1:27">
      <c r="A1" s="8" t="s">
        <v>0</v>
      </c>
      <c r="B1" s="8"/>
      <c r="C1" s="8"/>
      <c r="D1" s="8"/>
      <c r="E1" s="8"/>
      <c r="F1" s="8" t="s">
        <v>3</v>
      </c>
      <c r="G1" s="8" t="s">
        <v>1</v>
      </c>
      <c r="H1" s="8"/>
      <c r="I1" s="8" t="s">
        <v>2</v>
      </c>
      <c r="J1" s="8"/>
      <c r="K1" s="8"/>
      <c r="L1" s="8"/>
    </row>
    <row r="2" spans="1:27">
      <c r="A2" s="1" t="s">
        <v>20</v>
      </c>
      <c r="B2" s="1"/>
      <c r="C2" s="1"/>
      <c r="D2" s="1"/>
      <c r="E2" s="1"/>
      <c r="F2" s="1" t="s">
        <v>21</v>
      </c>
      <c r="G2" s="1" t="s">
        <v>1</v>
      </c>
      <c r="H2" s="1"/>
      <c r="I2" s="1" t="s">
        <v>22</v>
      </c>
      <c r="J2" s="1"/>
      <c r="K2" s="1"/>
      <c r="L2" s="1"/>
      <c r="M2" s="1" t="s">
        <v>23</v>
      </c>
      <c r="N2" s="1"/>
      <c r="O2" s="1"/>
      <c r="P2" s="1"/>
      <c r="Q2" s="1"/>
      <c r="R2" s="1"/>
      <c r="S2" s="1"/>
      <c r="T2" s="1"/>
      <c r="U2" s="1" t="s">
        <v>24</v>
      </c>
      <c r="V2" s="1"/>
      <c r="W2" s="1"/>
      <c r="X2" s="1"/>
      <c r="Y2" s="1"/>
      <c r="Z2" s="1"/>
      <c r="AA2" s="1"/>
    </row>
    <row r="3" spans="1:27">
      <c r="A3" t="s">
        <v>5</v>
      </c>
    </row>
    <row r="4" spans="1:27">
      <c r="A4" t="s">
        <v>4</v>
      </c>
      <c r="R4" s="13"/>
      <c r="S4" s="13"/>
      <c r="T4" s="2" t="s">
        <v>43</v>
      </c>
      <c r="U4" s="2"/>
      <c r="V4" s="2"/>
      <c r="W4" s="13"/>
      <c r="Y4" s="13"/>
    </row>
    <row r="5" spans="1:27">
      <c r="A5" t="s">
        <v>6</v>
      </c>
      <c r="C5">
        <f>4/50.2</f>
        <v>7.9681274900398405E-2</v>
      </c>
      <c r="E5" t="s">
        <v>7</v>
      </c>
      <c r="F5" s="2">
        <f>C5*60</f>
        <v>4.7808764940239046</v>
      </c>
      <c r="G5" t="s">
        <v>30</v>
      </c>
      <c r="R5" s="13"/>
      <c r="S5" s="13"/>
      <c r="T5" s="2" t="s">
        <v>33</v>
      </c>
      <c r="U5" s="2">
        <v>-12581</v>
      </c>
      <c r="V5" s="2"/>
      <c r="W5" s="13"/>
      <c r="Y5" s="13"/>
    </row>
    <row r="6" spans="1:27">
      <c r="A6" s="2" t="s">
        <v>25</v>
      </c>
      <c r="B6" s="2" t="s">
        <v>26</v>
      </c>
      <c r="F6" s="2"/>
      <c r="R6" s="13"/>
      <c r="S6" s="13"/>
      <c r="T6" s="2" t="s">
        <v>34</v>
      </c>
      <c r="U6" s="2">
        <f>U5*-8.314</f>
        <v>104598.43399999999</v>
      </c>
      <c r="V6" s="2" t="s">
        <v>18</v>
      </c>
      <c r="W6" s="13"/>
      <c r="Y6" s="13"/>
    </row>
    <row r="7" spans="1:27">
      <c r="R7" s="13"/>
      <c r="S7" s="13"/>
      <c r="T7" s="2"/>
      <c r="U7" s="2">
        <f>U6/1000</f>
        <v>104.598434</v>
      </c>
      <c r="V7" s="2" t="s">
        <v>19</v>
      </c>
      <c r="W7" s="13"/>
      <c r="Y7" s="13"/>
    </row>
    <row r="8" spans="1:27">
      <c r="A8" t="s">
        <v>27</v>
      </c>
      <c r="B8" t="s">
        <v>28</v>
      </c>
      <c r="C8" t="s">
        <v>29</v>
      </c>
      <c r="D8" t="s">
        <v>38</v>
      </c>
      <c r="E8" t="s">
        <v>35</v>
      </c>
      <c r="F8" t="s">
        <v>36</v>
      </c>
      <c r="G8" t="s">
        <v>37</v>
      </c>
      <c r="H8" t="s">
        <v>31</v>
      </c>
      <c r="I8" t="s">
        <v>32</v>
      </c>
      <c r="L8" s="10"/>
      <c r="P8" s="10"/>
      <c r="R8" s="13"/>
      <c r="S8" s="13"/>
      <c r="T8" s="13"/>
      <c r="V8" s="13"/>
      <c r="W8" s="13"/>
      <c r="Y8" s="13"/>
    </row>
    <row r="9" spans="1:27">
      <c r="A9">
        <v>300</v>
      </c>
      <c r="B9">
        <f>A9+273</f>
        <v>573</v>
      </c>
      <c r="C9">
        <f>1/B9</f>
        <v>1.7452006980802793E-3</v>
      </c>
      <c r="D9">
        <v>0</v>
      </c>
      <c r="E9">
        <v>0</v>
      </c>
      <c r="F9">
        <f>(E9/50)*1000000</f>
        <v>0</v>
      </c>
      <c r="G9">
        <f>F9</f>
        <v>0</v>
      </c>
      <c r="H9">
        <f>G9/4.8</f>
        <v>0</v>
      </c>
      <c r="I9" t="e">
        <f t="shared" ref="I9:I17" si="0">LN(H9)</f>
        <v>#NUM!</v>
      </c>
      <c r="R9" s="13"/>
      <c r="S9" s="13"/>
      <c r="T9" s="2" t="s">
        <v>44</v>
      </c>
      <c r="U9" s="2"/>
      <c r="V9" s="2"/>
      <c r="W9" s="13"/>
      <c r="Y9" s="13"/>
    </row>
    <row r="10" spans="1:27">
      <c r="A10">
        <v>325</v>
      </c>
      <c r="B10">
        <f t="shared" ref="B10:B17" si="1">A10+273</f>
        <v>598</v>
      </c>
      <c r="C10">
        <f t="shared" ref="C10:C17" si="2">1/B10</f>
        <v>1.6722408026755853E-3</v>
      </c>
      <c r="D10">
        <v>0</v>
      </c>
      <c r="E10">
        <v>0</v>
      </c>
      <c r="F10">
        <f t="shared" ref="F10:F17" si="3">(E10/50)*1000000</f>
        <v>0</v>
      </c>
      <c r="G10">
        <f t="shared" ref="G10:G17" si="4">F10</f>
        <v>0</v>
      </c>
      <c r="H10">
        <f t="shared" ref="H10:H17" si="5">G10/4.8</f>
        <v>0</v>
      </c>
      <c r="I10" t="e">
        <f t="shared" si="0"/>
        <v>#NUM!</v>
      </c>
      <c r="R10" s="13"/>
      <c r="S10" s="13"/>
      <c r="T10" s="2" t="s">
        <v>33</v>
      </c>
      <c r="U10" s="2">
        <v>-11449</v>
      </c>
      <c r="V10" s="2"/>
      <c r="W10" s="13"/>
      <c r="Y10" s="13"/>
    </row>
    <row r="11" spans="1:27">
      <c r="A11">
        <v>350</v>
      </c>
      <c r="B11">
        <f t="shared" si="1"/>
        <v>623</v>
      </c>
      <c r="C11">
        <f t="shared" si="2"/>
        <v>1.6051364365971107E-3</v>
      </c>
      <c r="D11">
        <v>1.9376348092176059</v>
      </c>
      <c r="E11">
        <v>2.5723803103311801E-9</v>
      </c>
      <c r="F11">
        <f t="shared" si="3"/>
        <v>5.1447606206623599E-5</v>
      </c>
      <c r="G11">
        <f t="shared" si="4"/>
        <v>5.1447606206623599E-5</v>
      </c>
      <c r="H11">
        <f t="shared" si="5"/>
        <v>1.0718251293046584E-5</v>
      </c>
      <c r="I11">
        <f t="shared" si="0"/>
        <v>-11.443562541276693</v>
      </c>
      <c r="R11" s="13"/>
      <c r="T11" s="2" t="s">
        <v>34</v>
      </c>
      <c r="U11" s="2">
        <f>U10*-8.314</f>
        <v>95186.986000000004</v>
      </c>
      <c r="V11" s="2" t="s">
        <v>18</v>
      </c>
      <c r="W11" s="13"/>
      <c r="Y11" s="13"/>
    </row>
    <row r="12" spans="1:27">
      <c r="A12">
        <v>375</v>
      </c>
      <c r="B12">
        <f t="shared" si="1"/>
        <v>648</v>
      </c>
      <c r="C12">
        <f t="shared" si="2"/>
        <v>1.5432098765432098E-3</v>
      </c>
      <c r="D12">
        <v>3.0913096938150488</v>
      </c>
      <c r="E12">
        <v>1.1548915768257694E-8</v>
      </c>
      <c r="F12">
        <f t="shared" si="3"/>
        <v>2.309783153651539E-4</v>
      </c>
      <c r="G12">
        <f t="shared" si="4"/>
        <v>2.309783153651539E-4</v>
      </c>
      <c r="H12">
        <f t="shared" si="5"/>
        <v>4.8120482367740396E-5</v>
      </c>
      <c r="I12">
        <f t="shared" si="0"/>
        <v>-9.9418026426407824</v>
      </c>
      <c r="R12" s="13"/>
      <c r="T12" s="2"/>
      <c r="U12" s="2">
        <f>U11/1000</f>
        <v>95.186986000000005</v>
      </c>
      <c r="V12" s="2" t="s">
        <v>19</v>
      </c>
      <c r="W12" s="13"/>
      <c r="Y12" s="13"/>
    </row>
    <row r="13" spans="1:27">
      <c r="A13">
        <v>390</v>
      </c>
      <c r="B13">
        <f t="shared" si="1"/>
        <v>663</v>
      </c>
      <c r="C13">
        <f t="shared" si="2"/>
        <v>1.5082956259426848E-3</v>
      </c>
      <c r="D13">
        <v>6.1677760527415444</v>
      </c>
      <c r="E13">
        <v>1.4737595527939054E-8</v>
      </c>
      <c r="F13">
        <f t="shared" si="3"/>
        <v>2.9475191055878104E-4</v>
      </c>
      <c r="G13">
        <f t="shared" si="4"/>
        <v>2.9475191055878104E-4</v>
      </c>
      <c r="H13">
        <f t="shared" si="5"/>
        <v>6.1406648033079388E-5</v>
      </c>
      <c r="I13">
        <f t="shared" si="0"/>
        <v>-9.6979924545180136</v>
      </c>
      <c r="R13" s="13"/>
      <c r="W13" s="13"/>
      <c r="Y13" s="13"/>
    </row>
    <row r="14" spans="1:27">
      <c r="A14">
        <v>400</v>
      </c>
      <c r="B14">
        <f t="shared" si="1"/>
        <v>673</v>
      </c>
      <c r="C14">
        <f t="shared" si="2"/>
        <v>1.4858841010401188E-3</v>
      </c>
      <c r="D14">
        <v>6.1677760527415515</v>
      </c>
      <c r="E14">
        <v>1.9172272000437078E-8</v>
      </c>
      <c r="F14">
        <f t="shared" si="3"/>
        <v>3.8344544000874157E-4</v>
      </c>
      <c r="G14">
        <f t="shared" si="4"/>
        <v>3.8344544000874157E-4</v>
      </c>
      <c r="H14">
        <f t="shared" si="5"/>
        <v>7.9884466668487825E-5</v>
      </c>
      <c r="I14">
        <f t="shared" si="0"/>
        <v>-9.4349291337480246</v>
      </c>
      <c r="R14" s="13"/>
      <c r="T14" s="2" t="s">
        <v>44</v>
      </c>
      <c r="U14" s="2"/>
      <c r="V14" s="2"/>
      <c r="W14" s="13"/>
      <c r="Y14" s="13"/>
    </row>
    <row r="15" spans="1:27">
      <c r="A15">
        <v>410</v>
      </c>
      <c r="B15">
        <f t="shared" si="1"/>
        <v>683</v>
      </c>
      <c r="C15">
        <f t="shared" si="2"/>
        <v>1.4641288433382138E-3</v>
      </c>
      <c r="D15">
        <v>8.4751258219364303</v>
      </c>
      <c r="E15">
        <v>2.6768832604383848E-8</v>
      </c>
      <c r="F15">
        <f t="shared" si="3"/>
        <v>5.3537665208767688E-4</v>
      </c>
      <c r="G15">
        <f t="shared" si="4"/>
        <v>5.3537665208767688E-4</v>
      </c>
      <c r="H15">
        <f t="shared" si="5"/>
        <v>1.1153680251826602E-4</v>
      </c>
      <c r="I15">
        <f t="shared" si="0"/>
        <v>-9.1011559540959759</v>
      </c>
      <c r="R15" s="13"/>
      <c r="T15" s="2" t="s">
        <v>33</v>
      </c>
      <c r="U15" s="2">
        <v>-14030</v>
      </c>
      <c r="V15" s="2"/>
      <c r="W15" s="13"/>
      <c r="Y15" s="13"/>
    </row>
    <row r="16" spans="1:27">
      <c r="A16">
        <v>425</v>
      </c>
      <c r="B16">
        <f t="shared" si="1"/>
        <v>698</v>
      </c>
      <c r="C16">
        <f t="shared" si="2"/>
        <v>1.4326647564469914E-3</v>
      </c>
      <c r="D16">
        <v>18.28136234101467</v>
      </c>
      <c r="E16">
        <v>3.9657529784272367E-8</v>
      </c>
      <c r="F16">
        <f t="shared" si="3"/>
        <v>7.9315059568544732E-4</v>
      </c>
      <c r="G16">
        <f t="shared" si="4"/>
        <v>7.9315059568544732E-4</v>
      </c>
      <c r="H16">
        <f t="shared" si="5"/>
        <v>1.6523970743446821E-4</v>
      </c>
      <c r="I16">
        <f t="shared" si="0"/>
        <v>-8.7081133659863692</v>
      </c>
      <c r="R16" s="13"/>
      <c r="T16" s="2" t="s">
        <v>34</v>
      </c>
      <c r="U16" s="2">
        <f>U15*-8.314</f>
        <v>116645.42</v>
      </c>
      <c r="V16" s="2" t="s">
        <v>18</v>
      </c>
      <c r="W16" s="13"/>
      <c r="Y16" s="13"/>
    </row>
    <row r="17" spans="1:22">
      <c r="A17">
        <v>450</v>
      </c>
      <c r="B17">
        <f t="shared" si="1"/>
        <v>723</v>
      </c>
      <c r="C17">
        <f t="shared" si="2"/>
        <v>1.3831258644536654E-3</v>
      </c>
      <c r="D17">
        <v>30.24112531134146</v>
      </c>
      <c r="E17">
        <v>8.2208987417667312E-8</v>
      </c>
      <c r="F17">
        <f t="shared" si="3"/>
        <v>1.6441797483533463E-3</v>
      </c>
      <c r="G17">
        <f t="shared" si="4"/>
        <v>1.6441797483533463E-3</v>
      </c>
      <c r="H17">
        <f t="shared" si="5"/>
        <v>3.4253744757361382E-4</v>
      </c>
      <c r="I17">
        <f t="shared" si="0"/>
        <v>-7.979129570257383</v>
      </c>
      <c r="T17" s="2"/>
      <c r="U17" s="2">
        <f>U16/1000</f>
        <v>116.64542</v>
      </c>
      <c r="V17" s="2" t="s">
        <v>19</v>
      </c>
    </row>
    <row r="19" spans="1:22">
      <c r="E19" s="9"/>
      <c r="M19" s="11"/>
    </row>
    <row r="21" spans="1:22">
      <c r="H21" s="2" t="s">
        <v>39</v>
      </c>
      <c r="I21" s="2"/>
      <c r="J21" s="2"/>
    </row>
    <row r="22" spans="1:22">
      <c r="H22" s="2" t="s">
        <v>33</v>
      </c>
      <c r="I22" s="2">
        <v>-15990</v>
      </c>
      <c r="J22" s="2"/>
    </row>
    <row r="23" spans="1:22">
      <c r="H23" s="2" t="s">
        <v>34</v>
      </c>
      <c r="I23" s="2">
        <f>I22*-8.314</f>
        <v>132940.86000000002</v>
      </c>
      <c r="J23" s="2" t="s">
        <v>18</v>
      </c>
    </row>
    <row r="24" spans="1:22">
      <c r="H24" s="2"/>
      <c r="I24" s="2">
        <f>I23/1000</f>
        <v>132.94086000000001</v>
      </c>
      <c r="J24" s="2" t="s">
        <v>19</v>
      </c>
    </row>
    <row r="26" spans="1:22">
      <c r="H26" s="12" t="s">
        <v>41</v>
      </c>
      <c r="I26" s="12"/>
      <c r="J26" s="12"/>
    </row>
    <row r="27" spans="1:22">
      <c r="H27" s="12" t="s">
        <v>33</v>
      </c>
      <c r="I27" s="12">
        <v>-13929</v>
      </c>
      <c r="J27" s="12"/>
    </row>
    <row r="28" spans="1:22">
      <c r="H28" s="12" t="s">
        <v>34</v>
      </c>
      <c r="I28" s="12">
        <f>I27*-8.314</f>
        <v>115805.70600000001</v>
      </c>
      <c r="J28" s="12" t="s">
        <v>18</v>
      </c>
    </row>
    <row r="29" spans="1:22">
      <c r="H29" s="12"/>
      <c r="I29" s="12">
        <f>I28/1000</f>
        <v>115.805706</v>
      </c>
      <c r="J29" s="12" t="s">
        <v>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particle size vs Ea</vt:lpstr>
      <vt:lpstr>example</vt:lpstr>
      <vt:lpstr>4% Fe3O4 SiO2 (1g)</vt:lpstr>
      <vt:lpstr>8% Fe3O4 SiO2 (0.5g)</vt:lpstr>
      <vt:lpstr>14% Fe3O4 SiO2 (0.5g)</vt:lpstr>
      <vt:lpstr>28% Fe3O4 SiO2 (0.23g)</vt:lpstr>
      <vt:lpstr>36% Fe3O4 SiO2 (0.14g)</vt:lpstr>
      <vt:lpstr>56% Fe3O4 SiO2 (0.1g)</vt:lpstr>
      <vt:lpstr>63% Fe3O4 SiO2 (0.1g)</vt:lpstr>
      <vt:lpstr>Fe2O3red280C H2</vt:lpstr>
      <vt:lpstr>Fe2O3@500Cred350CH2</vt:lpstr>
      <vt:lpstr>Fe2O3@800Cred350CH2</vt:lpstr>
      <vt:lpstr>Fe3O4 390C N2</vt:lpstr>
      <vt:lpstr>Fe3O4 450C N2</vt:lpstr>
      <vt:lpstr>Fe3O4 600C N2</vt:lpstr>
      <vt:lpstr>Fe3O4 500C N2 (2hrs)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2016-06-24T16:05:00Z</dcterms:modified>
</cp:coreProperties>
</file>